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Tc5GkxAm8KZ+/RCfPnNTbQowthSflV6xyPri/nApVSwzfv2K/952218nPSvv4xKq3rpaZb0V9HKoDX687ugmGw==" workbookSaltValue="dKvGWWuXXu2Y/7GkZ4/fD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BD12" i="8" s="1"/>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R19" i="8"/>
  <c r="EP19" i="8"/>
  <c r="EP19" i="19"/>
  <c r="T17" i="11"/>
  <c r="AP16" i="20"/>
  <c r="BH9" i="16"/>
  <c r="V15" i="11"/>
  <c r="BJ17" i="11"/>
  <c r="BH15" i="11"/>
  <c r="BH15" i="16"/>
  <c r="Q17" i="20"/>
  <c r="Q18" i="20" s="1"/>
  <c r="V11" i="16"/>
  <c r="BF17" i="11"/>
  <c r="BF16" i="11"/>
  <c r="S17" i="16"/>
  <c r="BL12" i="11"/>
  <c r="AT17" i="20"/>
  <c r="V17" i="16"/>
  <c r="K18" i="2"/>
  <c r="M13" i="2"/>
  <c r="N13" i="2"/>
  <c r="AL12" i="11"/>
  <c r="H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L17" i="2"/>
  <c r="V10" i="16"/>
  <c r="V9" i="16"/>
  <c r="BA18" i="13"/>
  <c r="AH20" i="20"/>
  <c r="AL20" i="20"/>
  <c r="AB20" i="20"/>
  <c r="AO20" i="20"/>
  <c r="AN20" i="20"/>
  <c r="Y20" i="20"/>
  <c r="U10" i="11"/>
  <c r="AJ19" i="8" l="1"/>
  <c r="AC10" i="11"/>
  <c r="BE10" i="8"/>
  <c r="I10" i="12" s="1"/>
  <c r="T13" i="12"/>
  <c r="B10" i="6"/>
  <c r="D10" i="6"/>
  <c r="E12" i="6"/>
  <c r="AO12" i="11"/>
  <c r="H12" i="2"/>
  <c r="H12" i="7"/>
  <c r="L9" i="14"/>
  <c r="C10" i="6"/>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BL9" i="11"/>
  <c r="BH11" i="16"/>
  <c r="BF11" i="11"/>
  <c r="T9" i="11"/>
  <c r="BF15" i="13"/>
  <c r="BG16" i="13"/>
  <c r="BE16" i="13"/>
  <c r="BG15" i="8"/>
  <c r="K15" i="7" s="1"/>
  <c r="BD16" i="8"/>
  <c r="AO17" i="11"/>
  <c r="L16" i="14"/>
  <c r="L17" i="14"/>
  <c r="F15" i="17"/>
  <c r="AQ15" i="17" s="1"/>
  <c r="L12" i="14"/>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N20" i="20"/>
  <c r="G13" i="14"/>
  <c r="AU20" i="20"/>
  <c r="AF20" i="20"/>
  <c r="F20" i="20"/>
  <c r="AK20" i="20"/>
  <c r="W20" i="21"/>
  <c r="AV20" i="20"/>
  <c r="AQ20" i="21"/>
  <c r="K20" i="20"/>
  <c r="AD20" i="20"/>
  <c r="AJ20" i="20"/>
  <c r="J20" i="20"/>
  <c r="O16" i="11"/>
  <c r="AG20" i="20"/>
  <c r="U12" i="11"/>
  <c r="S20" i="20"/>
  <c r="Z20" i="20"/>
  <c r="U16" i="11"/>
  <c r="G18" i="14"/>
  <c r="AE20" i="20"/>
  <c r="X20" i="20"/>
  <c r="I20" i="20"/>
  <c r="AA20" i="20"/>
  <c r="T20" i="21"/>
  <c r="J18" i="2" l="1"/>
  <c r="F13" i="2"/>
  <c r="C13" i="6"/>
  <c r="BG13" i="13"/>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<sst xmlns="http://schemas.openxmlformats.org/spreadsheetml/2006/main" count="2102" uniqueCount="917">
  <si>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</si>
  <si>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</si>
  <si>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</si>
  <si>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</si>
  <si>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</si>
  <si>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</si>
  <si>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</si>
  <si>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</si>
  <si>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</si>
  <si>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</si>
  <si>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</si>
  <si>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</si>
  <si>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</si>
  <si>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</si>
  <si>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</si>
  <si>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</si>
  <si>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</si>
  <si>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</si>
  <si>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</si>
  <si>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</si>
  <si>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</si>
  <si>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</si>
  <si>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</si>
  <si>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</si>
  <si>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</si>
  <si>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</si>
  <si>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</si>
  <si>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</si>
  <si>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</si>
  <si>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</si>
  <si>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</si>
  <si>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</si>
  <si>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</si>
  <si>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</si>
  <si>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</si>
  <si>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</si>
  <si>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</si>
  <si>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</si>
  <si>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</si>
  <si>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</si>
  <si>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</si>
  <si>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</si>
  <si>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</si>
  <si>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</si>
  <si>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</si>
  <si>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</si>
  <si>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</si>
  <si>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</si>
  <si>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</si>
  <si>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</si>
  <si>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</si>
  <si>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</si>
  <si>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</si>
  <si>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</si>
  <si>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</si>
  <si>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</si>
  <si>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</si>
  <si>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</si>
  <si>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</si>
  <si>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</si>
  <si>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</si>
  <si>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</si>
  <si>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</si>
  <si>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</si>
  <si>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</si>
  <si>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</si>
  <si>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</si>
  <si>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</si>
  <si>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</si>
  <si>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</si>
  <si>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</si>
  <si>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</si>
  <si>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</si>
  <si>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</si>
  <si>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</si>
  <si>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</si>
  <si>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</si>
  <si>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</si>
  <si>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</si>
  <si>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</si>
  <si>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</si>
  <si>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</si>
  <si>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</si>
  <si>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</si>
  <si>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</si>
  <si>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</si>
  <si>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</si>
  <si>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</si>
  <si>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</si>
  <si>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</si>
  <si>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</si>
  <si>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</si>
  <si>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</si>
  <si>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</si>
  <si>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</si>
  <si>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</si>
  <si>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</si>
  <si>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</si>
  <si>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</si>
  <si>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</si>
  <si>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</si>
  <si>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</si>
  <si>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</si>
  <si>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</si>
  <si>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</si>
  <si>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</si>
  <si>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</si>
  <si>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</si>
  <si>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</si>
  <si>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</si>
  <si>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</si>
  <si>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</si>
  <si>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</si>
  <si>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</si>
  <si>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</si>
  <si>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</si>
  <si>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</si>
  <si>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</si>
  <si>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</si>
  <si>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</si>
  <si>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</si>
  <si>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</si>
  <si>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</si>
  <si>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</si>
  <si>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</si>
  <si>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</si>
  <si>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</si>
  <si>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</si>
  <si>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</si>
  <si>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</si>
  <si>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</si>
  <si>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</si>
  <si>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</si>
  <si>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</si>
  <si>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</si>
  <si>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</si>
  <si>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</si>
  <si>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</si>
  <si>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</si>
  <si>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</si>
  <si>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</si>
  <si>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</si>
  <si>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</si>
  <si>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</si>
  <si>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</si>
  <si>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</si>
  <si>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</si>
  <si>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</si>
  <si>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</si>
  <si>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</si>
  <si>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</si>
  <si>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</si>
  <si>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</si>
  <si>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</si>
  <si>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</si>
  <si>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</si>
  <si>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</si>
  <si>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</si>
  <si>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</si>
  <si>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</si>
  <si>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</si>
  <si>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</si>
  <si>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</si>
  <si>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</si>
  <si>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</si>
  <si>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</si>
  <si>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</si>
  <si>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</si>
  <si>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</si>
  <si>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</si>
  <si>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</si>
  <si>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</si>
  <si>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</si>
  <si>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</si>
  <si>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</si>
  <si>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</si>
  <si>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</si>
  <si>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</si>
  <si>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</si>
  <si>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</si>
  <si>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</si>
  <si>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</si>
  <si>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</si>
  <si>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</si>
  <si>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</si>
  <si>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</si>
  <si>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</si>
  <si>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</si>
  <si>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</si>
  <si>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</si>
  <si>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</si>
  <si>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</si>
  <si>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</si>
  <si>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</si>
  <si>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</si>
  <si>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</si>
  <si>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</si>
  <si>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</si>
  <si>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</si>
  <si>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</si>
  <si>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</si>
  <si>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</si>
  <si>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</si>
  <si>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</si>
  <si>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</si>
  <si>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</si>
  <si>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</si>
  <si>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</si>
  <si>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</si>
  <si>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</si>
  <si>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</si>
  <si>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</si>
  <si>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</si>
  <si>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</si>
  <si>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</si>
  <si>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</si>
  <si>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</si>
  <si>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</si>
  <si>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</si>
  <si>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</si>
  <si>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</si>
  <si>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</si>
  <si>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</si>
  <si>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</si>
  <si>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</si>
  <si>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</si>
  <si>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</si>
  <si>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</si>
  <si>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</si>
  <si>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</si>
  <si>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</si>
  <si>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</si>
  <si>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</si>
  <si>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</si>
  <si>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</si>
  <si>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</si>
  <si>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</si>
  <si>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</si>
  <si>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</si>
  <si>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</si>
  <si>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</si>
  <si>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</si>
  <si>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</si>
  <si>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</si>
  <si>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</si>
  <si>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</si>
  <si>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</si>
  <si>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</si>
  <si>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</si>
  <si>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</si>
  <si>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</si>
  <si>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</si>
  <si>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</si>
  <si>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</si>
  <si>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</si>
  <si>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</si>
  <si>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</si>
  <si>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</si>
  <si>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</si>
  <si>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</si>
  <si>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</si>
  <si>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</si>
  <si>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</si>
  <si>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</si>
  <si>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</si>
  <si>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</si>
  <si>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</si>
  <si>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</si>
  <si>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</si>
  <si>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</si>
  <si>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</si>
  <si>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</si>
  <si>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</si>
  <si>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</si>
  <si>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</si>
  <si>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</si>
  <si>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</si>
  <si>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</si>
  <si>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</si>
  <si>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</si>
  <si>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</si>
  <si>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</si>
  <si>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</si>
  <si>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</si>
  <si>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</si>
  <si>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</si>
  <si>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</si>
  <si>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</si>
  <si>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</si>
  <si>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</si>
  <si>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</si>
  <si>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</si>
  <si>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</si>
  <si>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</si>
  <si>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</si>
  <si>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</si>
  <si>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</si>
  <si>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</si>
  <si>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</si>
  <si>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</si>
  <si>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</si>
  <si>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</si>
  <si>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</si>
  <si>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</si>
  <si>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</si>
  <si>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</si>
  <si>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</si>
  <si>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</si>
  <si>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</si>
  <si>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</si>
  <si>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</si>
  <si>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</si>
  <si>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</si>
  <si>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</si>
  <si>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</si>
  <si>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</si>
  <si>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</si>
  <si>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</si>
  <si>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</si>
  <si>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</si>
  <si>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</si>
  <si>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</si>
  <si>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</si>
  <si>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</si>
  <si>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</si>
  <si>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</si>
  <si>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</si>
  <si>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</si>
  <si>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</si>
  <si>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</si>
  <si>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</si>
  <si>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</si>
  <si>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</si>
  <si>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</si>
  <si>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</si>
  <si>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</si>
  <si>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</si>
  <si>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</si>
  <si>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</si>
  <si>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</si>
  <si>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</si>
  <si>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</si>
  <si>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</si>
  <si>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</si>
  <si>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</si>
  <si>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</si>
  <si>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</si>
  <si>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</si>
  <si>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</si>
  <si>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</si>
  <si>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</si>
  <si>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</si>
  <si>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</si>
  <si>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</si>
  <si>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</si>
  <si>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</si>
  <si>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</si>
  <si>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</si>
  <si>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</si>
  <si>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</si>
  <si>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</si>
  <si>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</si>
  <si>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</si>
  <si>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</si>
  <si>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</si>
  <si>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</si>
  <si>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</si>
  <si>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</si>
  <si>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</si>
  <si>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</si>
  <si>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</si>
  <si>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</si>
  <si>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</si>
  <si>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</si>
  <si>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</si>
  <si>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</si>
  <si>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</si>
  <si>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</si>
  <si>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</si>
  <si>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</si>
  <si>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</si>
  <si>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</si>
  <si>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</si>
  <si>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</si>
  <si>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</si>
  <si>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</si>
  <si>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</si>
  <si>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</si>
  <si>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</si>
  <si>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</si>
  <si>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</si>
  <si>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</si>
  <si>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</si>
  <si>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</si>
  <si>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</si>
  <si>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</si>
  <si>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</si>
  <si>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</si>
  <si>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</si>
  <si>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</si>
  <si>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</si>
  <si>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</si>
  <si>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</si>
  <si>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</si>
  <si>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</si>
  <si>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</si>
  <si>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</si>
  <si>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</si>
  <si>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</si>
  <si>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</si>
  <si>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</si>
  <si>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</si>
  <si>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</si>
  <si>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</si>
  <si>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</si>
  <si>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</si>
  <si>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</si>
  <si>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</si>
  <si>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</si>
  <si>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</si>
  <si>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</si>
  <si>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</si>
  <si>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</si>
  <si>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</si>
  <si>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</si>
  <si>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</si>
  <si>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</si>
  <si>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</si>
  <si>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</si>
  <si>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</si>
  <si>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</si>
  <si>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</si>
  <si>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</si>
  <si>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</si>
  <si>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</si>
  <si>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</si>
  <si>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</si>
  <si>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</si>
  <si>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</si>
  <si>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</si>
  <si>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</si>
  <si>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</si>
  <si>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</si>
  <si>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</si>
  <si>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</si>
  <si>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</si>
  <si>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</si>
  <si>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</si>
  <si>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</si>
  <si>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</si>
  <si>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</si>
  <si>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</si>
  <si>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</si>
  <si>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</si>
  <si>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</si>
  <si>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</si>
  <si>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</si>
  <si>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</si>
  <si>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</si>
  <si>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</si>
  <si>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</si>
  <si>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</si>
  <si>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</si>
  <si>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</si>
  <si>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</si>
  <si>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</si>
  <si>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</si>
  <si>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</si>
  <si>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</si>
  <si>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</si>
  <si>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</si>
  <si>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</si>
  <si>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</si>
  <si>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</si>
  <si>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</si>
  <si>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</si>
  <si>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</si>
  <si>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</si>
  <si>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</si>
  <si>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</si>
  <si>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</si>
  <si>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</si>
  <si>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</si>
  <si>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</si>
  <si>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</si>
  <si>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</si>
  <si>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</si>
  <si>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</si>
  <si>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</si>
  <si>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</si>
  <si>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</si>
  <si>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</si>
  <si>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</si>
  <si>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</si>
  <si>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</si>
  <si>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</si>
  <si>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</si>
  <si>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</si>
  <si>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</si>
  <si>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</si>
  <si>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</si>
  <si>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</si>
  <si>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</si>
  <si>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</si>
  <si>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</si>
  <si>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</si>
  <si>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</si>
  <si>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</si>
  <si>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</si>
  <si>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</si>
  <si>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</si>
  <si>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</si>
  <si>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</si>
  <si>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</si>
  <si>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</si>
  <si>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</si>
  <si>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</si>
  <si>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</si>
  <si>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</si>
  <si>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</si>
  <si>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</si>
  <si>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</si>
  <si>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</si>
  <si>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</si>
  <si>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</si>
  <si>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</si>
  <si>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</si>
  <si>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</si>
  <si>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</si>
  <si>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</si>
  <si>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</si>
  <si>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</si>
  <si>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</si>
  <si>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</si>
  <si>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</si>
  <si>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</si>
  <si>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</si>
  <si>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</si>
  <si>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</si>
  <si>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</si>
  <si>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</si>
  <si>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</si>
  <si>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</si>
  <si>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</si>
  <si>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</si>
  <si>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</si>
  <si>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</si>
  <si>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</si>
  <si>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</si>
  <si>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</si>
  <si>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</si>
  <si>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</si>
  <si>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</si>
  <si>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</si>
  <si>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</si>
  <si>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</si>
  <si>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</si>
  <si>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</si>
  <si>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</si>
  <si>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</si>
  <si>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</si>
  <si>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</si>
  <si>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</si>
  <si>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</si>
  <si>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</si>
  <si>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</si>
  <si>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</si>
  <si>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</si>
  <si>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</si>
  <si>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</si>
  <si>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</si>
  <si>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</si>
  <si>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</si>
  <si>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</si>
  <si>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</si>
  <si>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</si>
  <si>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</si>
  <si>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</si>
  <si>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</si>
  <si>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</si>
  <si>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</si>
  <si>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</si>
  <si>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</si>
  <si>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</si>
  <si>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</si>
  <si>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</si>
  <si>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</si>
  <si>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</si>
  <si>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</si>
  <si>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</si>
  <si>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</si>
  <si>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</si>
  <si>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</si>
  <si>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</si>
  <si>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</si>
  <si>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</si>
  <si>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</si>
  <si>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</si>
  <si>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</si>
  <si>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</si>
  <si>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</si>
  <si>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</si>
  <si>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</si>
  <si>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</si>
  <si>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</si>
  <si>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</si>
  <si>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</si>
  <si>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</si>
  <si>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</si>
  <si>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</si>
  <si>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</si>
  <si>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</si>
  <si>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</si>
  <si>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</si>
  <si>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</si>
  <si>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</si>
  <si>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</si>
  <si>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</si>
  <si>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</si>
  <si>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</si>
  <si>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</si>
  <si>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</si>
  <si>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</si>
  <si>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</si>
  <si>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</si>
  <si>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</si>
  <si>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</si>
  <si>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</si>
  <si>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</si>
  <si>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</si>
  <si>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</si>
  <si>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</si>
  <si>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</si>
  <si>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</si>
  <si>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</si>
  <si>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</si>
  <si>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</si>
  <si>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</si>
  <si>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</si>
  <si>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</si>
  <si>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</si>
  <si>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</si>
  <si>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</si>
  <si>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</si>
  <si>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</si>
  <si>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</si>
  <si>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</si>
  <si>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</si>
  <si>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</si>
  <si>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</si>
  <si>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</si>
  <si>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</si>
  <si>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</si>
  <si>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</si>
  <si>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</si>
  <si>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</si>
  <si>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</si>
  <si>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</si>
  <si>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</si>
  <si>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</si>
  <si>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</si>
  <si>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</si>
  <si>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</si>
  <si>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</si>
  <si>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</si>
  <si>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</si>
  <si>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</si>
  <si>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</si>
  <si>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</si>
  <si>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</si>
  <si>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</si>
  <si>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</si>
  <si>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</si>
  <si>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</si>
  <si>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</si>
  <si>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</si>
  <si>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</si>
  <si>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</si>
  <si>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</si>
  <si>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</si>
  <si>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</si>
  <si>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</si>
  <si>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</si>
  <si>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</si>
  <si>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</si>
  <si>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</si>
  <si>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</si>
  <si>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</si>
  <si>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</si>
  <si>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</si>
  <si>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</si>
  <si>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</si>
  <si>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</si>
  <si>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</si>
  <si>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</si>
  <si>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</si>
  <si>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</si>
  <si>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</si>
  <si>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</si>
  <si>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</si>
  <si>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</si>
  <si>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</si>
  <si>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</si>
  <si>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</si>
  <si>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</si>
  <si>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</si>
  <si>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</si>
  <si>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</si>
  <si>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</si>
  <si>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</si>
  <si>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</si>
  <si>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</si>
  <si>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</si>
  <si>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</si>
  <si>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</si>
  <si>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</si>
  <si>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</si>
  <si>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</si>
  <si>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</si>
  <si>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</si>
  <si>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</si>
  <si>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</si>
  <si>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</si>
  <si>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</si>
  <si>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</si>
  <si>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</si>
  <si>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</si>
  <si>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</si>
  <si>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</si>
  <si>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</si>
  <si>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</si>
  <si>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</si>
  <si>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</si>
  <si>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</si>
  <si>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</si>
  <si>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</si>
  <si>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</si>
  <si>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</si>
  <si>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</si>
  <si>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</si>
  <si>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</si>
  <si>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</si>
  <si>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</si>
  <si>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</si>
  <si>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</si>
  <si>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</si>
  <si>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</si>
  <si>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</si>
  <si>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</si>
  <si>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</si>
  <si>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</si>
  <si>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</si>
  <si>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</si>
  <si>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</si>
  <si>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</si>
  <si>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</si>
  <si>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</si>
  <si>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</si>
  <si>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</si>
  <si>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</si>
  <si>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</si>
  <si>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</si>
  <si>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</si>
  <si>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</si>
  <si>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</si>
  <si>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</si>
  <si>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</si>
  <si>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</si>
  <si>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</si>
  <si>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</si>
  <si>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</si>
  <si>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</si>
  <si>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</si>
  <si>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</si>
  <si>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</si>
  <si>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</si>
  <si>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</si>
  <si>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</si>
  <si>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</si>
  <si>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</si>
  <si>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</si>
  <si>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</si>
  <si>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</si>
  <si>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</si>
  <si>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</si>
  <si>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</si>
  <si>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</si>
  <si>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</si>
  <si>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</si>
  <si>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</si>
  <si>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</si>
  <si>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</si>
  <si>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</si>
  <si>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</si>
  <si>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</si>
  <si>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</si>
  <si>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</si>
  <si>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</si>
  <si>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</si>
  <si>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</si>
  <si>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</si>
  <si>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</si>
  <si>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</si>
  <si>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</si>
  <si>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</si>
  <si>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</si>
  <si>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</si>
  <si>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</si>
  <si>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</si>
  <si>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</si>
  <si>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</si>
  <si>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</si>
  <si>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</si>
  <si>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</si>
  <si>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</si>
  <si>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</si>
  <si>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</si>
  <si>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</si>
  <si>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</si>
  <si>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</si>
  <si>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</si>
  <si>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</si>
  <si>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</si>
  <si>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</si>
  <si>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</si>
  <si>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</si>
  <si>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</si>
  <si>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</si>
  <si>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</si>
  <si>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</si>
  <si>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</si>
  <si>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</si>
  <si>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</si>
  <si>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</si>
  <si>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</si>
  <si>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</si>
  <si>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</si>
  <si>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</si>
  <si>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</si>
  <si>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</si>
  <si>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</si>
  <si>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</si>
  <si>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</si>
  <si>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</si>
  <si>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</si>
  <si>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</si>
  <si>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</si>
  <si>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</si>
  <si>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</si>
  <si>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</si>
  <si>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</si>
  <si>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</si>
  <si>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</si>
  <si>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</si>
  <si>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</si>
  <si>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</si>
  <si>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</si>
  <si>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</si>
  <si>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</si>
  <si>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</si>
  <si>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</si>
  <si>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</si>
  <si>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</si>
  <si>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</si>
  <si>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</si>
  <si>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</si>
  <si>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</si>
  <si>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</si>
  <si>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</si>
  <si>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</si>
  <si>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</si>
  <si>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</si>
  <si>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</si>
  <si>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</si>
  <si>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</si>
  <si>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</si>
  <si>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</si>
  <si>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</si>
  <si>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</si>
  <si>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</si>
  <si>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</si>
  <si>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</si>
  <si>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</si>
  <si>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</si>
  <si>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</si>
  <si>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</si>
  <si>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</si>
  <si>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</si>
  <si>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</si>
  <si>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</si>
  <si>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</si>
  <si>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</si>
  <si>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</si>
  <si>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</si>
  <si>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</si>
  <si>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</si>
  <si>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</si>
  <si>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</si>
  <si>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</si>
  <si>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</si>
  <si>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</si>
  <si>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</si>
  <si>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</si>
  <si>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</si>
  <si>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</si>
  <si>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</si>
  <si>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</si>
  <si>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</si>
  <si>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</si>
  <si>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</si>
  <si>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</si>
  <si>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</si>
  <si>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ISLAS BALEARES</t>
  </si>
  <si>
    <t>Provincias</t>
  </si>
  <si>
    <t>ILLES BALEARS</t>
  </si>
  <si>
    <t>Resumenes por Partidos Judiciales</t>
  </si>
  <si>
    <t>MANACOR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</si>
</sst>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a0nxd13IHauBP8F8v0Ng+ouq5sD3pdugpuCGGktp4uf5Q004H9WdmGBscsqphFltGIi25BTWFaPGF6eMWN8ww==" saltValue="6IemeWIRTAQ4a/pKw9P8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ISLAS BALEARES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40.60712542703758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178</v>
      </c>
      <c r="D10" s="225">
        <f>IF(ISNUMBER(Datos!I10),Datos!I10," - ")</f>
        <v>178</v>
      </c>
      <c r="E10" s="226">
        <f>IF(ISNUMBER(Datos!J10),Datos!J10," - ")</f>
        <v>32</v>
      </c>
      <c r="F10" s="226">
        <f>IF(ISNUMBER(Datos!K10),Datos!K10," - ")</f>
        <v>14</v>
      </c>
      <c r="G10" s="1034" t="str">
        <f>IF(Datos!E10&lt;&gt;"",Datos!E10,Datos!D10)</f>
        <v>37</v>
      </c>
      <c r="H10" s="227">
        <f>IF(ISNUMBER(Datos!L10),Datos!L10," - ")</f>
        <v>196</v>
      </c>
      <c r="I10" s="1044" t="str">
        <f>IF(ISNUMBER(Datos!AS10/Datos!BM10),Datos!AS10/Datos!BM10," - ")</f>
        <v xml:space="preserve"> - </v>
      </c>
      <c r="J10" s="1045">
        <f>IF(ISNUMBER(Datos!BY10/Datos!CN10),Datos!BY10/Datos!CN10," - ")</f>
        <v>0</v>
      </c>
      <c r="K10" s="230">
        <f t="shared" ref="K10:K12" si="1">IF(ISNUMBER((E10-F10)/C10),(E10-F10)/C10," - ")</f>
        <v>0.10112359550561797</v>
      </c>
      <c r="L10" s="1025">
        <f>IF(ISNUMBER(NºAsuntos!I10/NºAsuntos!G10),(NºAsuntos!I10/NºAsuntos!G10)*11," - ")</f>
        <v>154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178</v>
      </c>
      <c r="D13" s="1049">
        <f>SUBTOTAL(9,D9:D12)</f>
        <v>178</v>
      </c>
      <c r="E13" s="1050">
        <f>SUBTOTAL(9,E9:E12)</f>
        <v>32</v>
      </c>
      <c r="F13" s="1051">
        <f>SUBTOTAL(9,F9:F12)</f>
        <v>14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2211</v>
      </c>
      <c r="D15" s="225">
        <f>IF(ISNUMBER(IF(D_I="SI",Datos!I15,Datos!I15+Datos!AC15)),IF(D_I="SI",Datos!I15,Datos!I15+Datos!AC15)," - ")</f>
        <v>2164</v>
      </c>
      <c r="E15" s="226">
        <f>IF(ISNUMBER(IF(D_I="SI",Datos!J15,Datos!J15+Datos!AD15)),IF(D_I="SI",Datos!J15,Datos!J15+Datos!AD15)," - ")</f>
        <v>2032</v>
      </c>
      <c r="F15" s="226">
        <f>IF(ISNUMBER(IF(D_I="SI",Datos!K15,Datos!K15+Datos!AE15)),IF(D_I="SI",Datos!K15,Datos!K15+Datos!AE15)," - ")</f>
        <v>1949</v>
      </c>
      <c r="G15" s="1034" t="str">
        <f>IF(Datos!E15&lt;&gt;"",Datos!E15,Datos!D15)</f>
        <v>03</v>
      </c>
      <c r="H15" s="227">
        <f>IF(ISNUMBER(IF(D_I="SI",Datos!L15,Datos!L15+Datos!AF15)),IF(D_I="SI",Datos!L15,Datos!L15+Datos!AF15)," - ")</f>
        <v>2294</v>
      </c>
      <c r="I15" s="1044" t="str">
        <f>IF(ISNUMBER(Datos!AS15/Datos!BM15),Datos!AS15/Datos!BM15," - ")</f>
        <v xml:space="preserve"> - </v>
      </c>
      <c r="J15" s="1045">
        <f>IF(ISNUMBER(Datos!BY15/Datos!CN15),Datos!BY15/Datos!CN15," - ")</f>
        <v>0</v>
      </c>
      <c r="K15" s="230">
        <f t="shared" ref="K15:K17" si="3">IF(ISNUMBER((E15-F15)/C15),(E15-F15)/C15," - ")</f>
        <v>3.7539574853007691E-2</v>
      </c>
      <c r="L15" s="1025">
        <f>IF(ISNUMBER(NºAsuntos!I15/NºAsuntos!G15),(NºAsuntos!I15/NºAsuntos!G15)*11," - ")</f>
        <v>12.947152385838892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151</v>
      </c>
      <c r="D17" s="225">
        <f>IF(ISNUMBER(IF(D_I="SI",Datos!I17,Datos!I17+Datos!AC17)),IF(D_I="SI",Datos!I17,Datos!I17+Datos!AC17)," - ")</f>
        <v>151</v>
      </c>
      <c r="E17" s="226">
        <f>IF(ISNUMBER(IF(D_I="SI",Datos!J17,Datos!J17+Datos!AD17)),IF(D_I="SI",Datos!J17,Datos!J17+Datos!AD17)," - ")</f>
        <v>206</v>
      </c>
      <c r="F17" s="226">
        <f>IF(ISNUMBER(IF(D_I="SI",Datos!K17,Datos!K17+Datos!AE17)),IF(D_I="SI",Datos!K17,Datos!K17+Datos!AE17)," - ")</f>
        <v>204</v>
      </c>
      <c r="G17" s="1034" t="str">
        <f>IF(Datos!E17&lt;&gt;"",Datos!E17,Datos!D17)</f>
        <v>37</v>
      </c>
      <c r="H17" s="227">
        <f>IF(ISNUMBER(IF(D_I="SI",Datos!L17,Datos!L17+Datos!AF17)),IF(D_I="SI",Datos!L17,Datos!L17+Datos!AF17)," - ")</f>
        <v>153</v>
      </c>
      <c r="I17" s="1044" t="str">
        <f>IF(ISNUMBER(Datos!AS17/Datos!BM17),Datos!AS17/Datos!BM17," - ")</f>
        <v xml:space="preserve"> - </v>
      </c>
      <c r="J17" s="1045" t="str">
        <f>IF(ISNUMBER((Datos!BY17+Datos!BZ17)/Datos!CN17),(Datos!BY17+Datos!BZ17)/Datos!CN17," - ")</f>
        <v xml:space="preserve"> - </v>
      </c>
      <c r="K17" s="230">
        <f t="shared" si="3"/>
        <v>1.3245033112582781E-2</v>
      </c>
      <c r="L17" s="1025">
        <f>IF(ISNUMBER(NºAsuntos!I17/NºAsuntos!G17),(NºAsuntos!I17/NºAsuntos!G17)*11," - ")</f>
        <v>8.25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2362</v>
      </c>
      <c r="D18" s="1049">
        <f>SUBTOTAL(9,D15:D17)</f>
        <v>2315</v>
      </c>
      <c r="E18" s="1050">
        <f>SUBTOTAL(9,E15:E17)</f>
        <v>2238</v>
      </c>
      <c r="F18" s="1050">
        <f>SUBTOTAL(9,F15:F17)</f>
        <v>2153</v>
      </c>
      <c r="G18" s="1052" t="str">
        <f ca="1">INDIRECT(CONCATENATE("G",ROW()-1))</f>
        <v>37</v>
      </c>
      <c r="H18" s="1053">
        <f ca="1">SUMIF(G$14:G17,G18,H$14:H17)</f>
        <v>153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2540</v>
      </c>
      <c r="D19" s="1071">
        <f>SUBTOTAL(9,D9:D18)</f>
        <v>2493</v>
      </c>
      <c r="E19" s="1072">
        <f>SUBTOTAL(9,E9:E18)</f>
        <v>2270</v>
      </c>
      <c r="F19" s="1072">
        <f>SUBTOTAL(9,F9:F18)</f>
        <v>2167</v>
      </c>
      <c r="G19" s="1073"/>
      <c r="H19" s="1074">
        <f ca="1">SUMIF(B9:B18,"TOTAL",H9:H18)</f>
        <v>153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sEsS9+zG3aUYIwVdj9hWKiYZPrZffYzyK4S9rt4gdJu+LNpOIy/vk041lm6d8J03had7iYqzX8c+cLt8848qRg==" saltValue="sIdhH9UTFw7lG6auX5mIX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PfRTWP4dNC4s3/Uxs/PodNqGpezYyx7tceSAR+ot7pSMKOyRhtbWRaYfrrVT8fBKb1U1/7PAx+N5XG2L9T8Aw==" saltValue="Oen/FWUODGZFGk/9daD+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5930</v>
      </c>
      <c r="J9" s="181">
        <v>3399</v>
      </c>
      <c r="K9" s="181">
        <v>1954</v>
      </c>
      <c r="L9" s="181">
        <v>7377</v>
      </c>
      <c r="M9" s="181">
        <v>568</v>
      </c>
      <c r="N9" s="181">
        <v>904</v>
      </c>
      <c r="O9" s="181">
        <v>725</v>
      </c>
      <c r="P9" s="181">
        <v>906</v>
      </c>
      <c r="Q9" s="181">
        <v>297</v>
      </c>
      <c r="R9" s="181">
        <v>7016</v>
      </c>
      <c r="S9" s="181">
        <v>4725</v>
      </c>
      <c r="T9" s="181">
        <v>1556</v>
      </c>
      <c r="U9" s="181">
        <v>1422</v>
      </c>
      <c r="V9" s="181">
        <v>4858</v>
      </c>
      <c r="W9" s="181">
        <v>377</v>
      </c>
      <c r="X9" s="188">
        <v>583</v>
      </c>
      <c r="Y9" s="191">
        <v>187</v>
      </c>
      <c r="Z9" s="181">
        <v>95</v>
      </c>
      <c r="AA9" s="181">
        <v>95</v>
      </c>
      <c r="AB9" s="181">
        <v>187</v>
      </c>
      <c r="AC9" s="181">
        <v>0</v>
      </c>
      <c r="AD9" s="181">
        <v>0</v>
      </c>
      <c r="AE9" s="181">
        <v>0</v>
      </c>
      <c r="AF9" s="188">
        <v>0</v>
      </c>
      <c r="AG9" s="191">
        <v>135</v>
      </c>
      <c r="AH9" s="181">
        <v>100</v>
      </c>
      <c r="AI9" s="181">
        <v>69</v>
      </c>
      <c r="AJ9" s="192">
        <v>166</v>
      </c>
      <c r="AK9" s="180">
        <v>0</v>
      </c>
      <c r="AL9" s="181">
        <v>0</v>
      </c>
      <c r="AM9" s="181">
        <v>0</v>
      </c>
      <c r="AN9" s="188">
        <v>0</v>
      </c>
      <c r="AO9" s="258">
        <v>5</v>
      </c>
      <c r="AP9" s="154">
        <v>5</v>
      </c>
      <c r="AQ9" s="154">
        <v>5</v>
      </c>
      <c r="AR9" s="193">
        <v>5</v>
      </c>
      <c r="AS9" s="338" t="s">
        <v>798</v>
      </c>
      <c r="AT9" s="195"/>
      <c r="AU9" s="194"/>
      <c r="AV9" s="195"/>
      <c r="AW9" s="194"/>
      <c r="AX9" s="195"/>
      <c r="AY9" s="123">
        <f>IF(ISNUMBER(IF(J_V="SI",S9,S9+AG9)),IF(J_V="SI",S9,S9+AG9)," - ")</f>
        <v>4860</v>
      </c>
      <c r="AZ9" s="123">
        <f>IF(ISNUMBER(IF(J_V="SI",T9,T9+AH9)),IF(J_V="SI",T9,T9+AH9)," - ")</f>
        <v>1656</v>
      </c>
      <c r="BA9" s="124">
        <f>IF(ISNUMBER(IF(J_V="SI",U9,U9+AI9)),IF(J_V="SI",U9,U9+AI9)," - ")</f>
        <v>1491</v>
      </c>
      <c r="BB9" s="124">
        <f>IF(ISNUMBER(IF(J_V="SI",V9,V9+AJ9)),IF(J_V="SI",V9,V9+AJ9)," - ")</f>
        <v>5024</v>
      </c>
      <c r="BC9" s="125">
        <f>IF(ISNUMBER(X9),X9," - ")</f>
        <v>583</v>
      </c>
      <c r="BD9" s="126">
        <f>IF(ISNUMBER(BA9/AZ9),BA9/AZ9," - ")</f>
        <v>0.90036231884057971</v>
      </c>
      <c r="BE9" s="127">
        <f>IF(ISNUMBER(BB9/BA9),BB9/BA9, " - ")</f>
        <v>3.3695506371562711</v>
      </c>
      <c r="BF9" s="127">
        <f>IF(ISNUMBER(BC9/BA9),BC9/BA9, " - ")</f>
        <v>0.39101274312541917</v>
      </c>
      <c r="BG9" s="196">
        <f>IF(ISNUMBER((AY9+AZ9)/BA9),(AY9+AZ9)/BA9," - ")</f>
        <v>4.3702213279678066</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178</v>
      </c>
      <c r="J10" s="181">
        <v>32</v>
      </c>
      <c r="K10" s="181">
        <v>14</v>
      </c>
      <c r="L10" s="181">
        <v>196</v>
      </c>
      <c r="M10" s="181">
        <v>8</v>
      </c>
      <c r="N10" s="181">
        <v>6</v>
      </c>
      <c r="O10" s="181">
        <v>1</v>
      </c>
      <c r="P10" s="181">
        <v>1</v>
      </c>
      <c r="Q10" s="181">
        <v>0</v>
      </c>
      <c r="R10" s="181">
        <v>73</v>
      </c>
      <c r="S10" s="181">
        <v>167</v>
      </c>
      <c r="T10" s="181">
        <v>14</v>
      </c>
      <c r="U10" s="181">
        <v>19</v>
      </c>
      <c r="V10" s="181">
        <v>162</v>
      </c>
      <c r="W10" s="181">
        <v>7</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167</v>
      </c>
      <c r="AZ10" s="129">
        <f t="shared" si="0"/>
        <v>14</v>
      </c>
      <c r="BA10" s="129">
        <f t="shared" si="0"/>
        <v>19</v>
      </c>
      <c r="BB10" s="129">
        <f t="shared" si="0"/>
        <v>162</v>
      </c>
      <c r="BC10" s="125">
        <f t="shared" si="0"/>
        <v>7</v>
      </c>
      <c r="BD10" s="126">
        <f>IF(ISNUMBER(BA10/AZ10),BA10/AZ10," - ")</f>
        <v>1.3571428571428572</v>
      </c>
      <c r="BE10" s="127">
        <f>IF(ISNUMBER(BB10/BA10),BB10/BA10, " - ")</f>
        <v>8.526315789473685</v>
      </c>
      <c r="BF10" s="127">
        <f>IF(ISNUMBER(BC10/BA10),BC10/BA10, " - ")</f>
        <v>0.36842105263157893</v>
      </c>
      <c r="BG10" s="196">
        <f>IF(ISNUMBER((AY10+AZ10)/BA10),(AY10+AZ10)/BA10," - ")</f>
        <v>9.526315789473685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6108</v>
      </c>
      <c r="J13" s="184">
        <f t="shared" si="6"/>
        <v>3431</v>
      </c>
      <c r="K13" s="184">
        <f t="shared" si="6"/>
        <v>1968</v>
      </c>
      <c r="L13" s="184">
        <f t="shared" si="6"/>
        <v>7573</v>
      </c>
      <c r="M13" s="184">
        <f t="shared" si="6"/>
        <v>576</v>
      </c>
      <c r="N13" s="184">
        <f t="shared" si="6"/>
        <v>910</v>
      </c>
      <c r="O13" s="184">
        <f t="shared" si="6"/>
        <v>726</v>
      </c>
      <c r="P13" s="184">
        <f t="shared" si="6"/>
        <v>907</v>
      </c>
      <c r="Q13" s="184">
        <f t="shared" si="6"/>
        <v>297</v>
      </c>
      <c r="R13" s="184">
        <f t="shared" si="6"/>
        <v>7089</v>
      </c>
      <c r="S13" s="184">
        <f t="shared" si="6"/>
        <v>4892</v>
      </c>
      <c r="T13" s="184">
        <f t="shared" si="6"/>
        <v>1570</v>
      </c>
      <c r="U13" s="184">
        <f t="shared" si="6"/>
        <v>1441</v>
      </c>
      <c r="V13" s="184">
        <f t="shared" si="6"/>
        <v>5020</v>
      </c>
      <c r="W13" s="184">
        <f t="shared" si="6"/>
        <v>384</v>
      </c>
      <c r="X13" s="184">
        <f t="shared" si="6"/>
        <v>594</v>
      </c>
      <c r="Y13" s="184">
        <f t="shared" si="6"/>
        <v>187</v>
      </c>
      <c r="Z13" s="184">
        <f t="shared" si="6"/>
        <v>95</v>
      </c>
      <c r="AA13" s="184">
        <f t="shared" si="6"/>
        <v>95</v>
      </c>
      <c r="AB13" s="184">
        <f t="shared" si="6"/>
        <v>187</v>
      </c>
      <c r="AC13" s="184">
        <f t="shared" si="6"/>
        <v>0</v>
      </c>
      <c r="AD13" s="184">
        <f t="shared" si="6"/>
        <v>0</v>
      </c>
      <c r="AE13" s="184">
        <f t="shared" si="6"/>
        <v>0</v>
      </c>
      <c r="AF13" s="184">
        <f>SUBTOTAL(9,AF9:AF12)</f>
        <v>0</v>
      </c>
      <c r="AG13" s="184">
        <f t="shared" ref="AG13:AT13" si="7">SUBTOTAL(9,AG8:AG12)</f>
        <v>135</v>
      </c>
      <c r="AH13" s="184">
        <f t="shared" si="7"/>
        <v>100</v>
      </c>
      <c r="AI13" s="184">
        <f t="shared" si="7"/>
        <v>69</v>
      </c>
      <c r="AJ13" s="184">
        <f t="shared" si="7"/>
        <v>166</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5027</v>
      </c>
      <c r="AZ13" s="184">
        <f>SUBTOTAL(9,AZ8:AZ12)</f>
        <v>1670</v>
      </c>
      <c r="BA13" s="184">
        <f>SUBTOTAL(9,BA8:BA12)</f>
        <v>1510</v>
      </c>
      <c r="BB13" s="184">
        <f>SUBTOTAL(9,BB8:BB12)</f>
        <v>5186</v>
      </c>
      <c r="BC13" s="184">
        <f>SUBTOTAL(9,BC8:BC12)</f>
        <v>590</v>
      </c>
      <c r="BD13" s="205">
        <f>IF(ISNUMBER(BA13/AZ13),BA13/AZ13," - ")</f>
        <v>0.90419161676646709</v>
      </c>
      <c r="BE13" s="206">
        <f>IF(ISNUMBER(BB13/BA13),BB13/BA13, " - ")</f>
        <v>3.4344370860927151</v>
      </c>
      <c r="BF13" s="206">
        <f>IF(ISNUMBER(BC13/BA13),BC13/BA13, " - ")</f>
        <v>0.39072847682119205</v>
      </c>
      <c r="BG13" s="207">
        <f>IF(ISNUMBER((AY13+AZ13)/BA13),(AY13+AZ13)/BA13," - ")</f>
        <v>4.4350993377483441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2164</v>
      </c>
      <c r="J15" s="183">
        <v>2032</v>
      </c>
      <c r="K15" s="183">
        <v>1949</v>
      </c>
      <c r="L15" s="183">
        <v>2294</v>
      </c>
      <c r="M15" s="183">
        <v>216</v>
      </c>
      <c r="N15" s="183">
        <v>1185</v>
      </c>
      <c r="O15" s="181">
        <v>19</v>
      </c>
      <c r="P15" s="183">
        <v>22</v>
      </c>
      <c r="Q15" s="183">
        <v>23</v>
      </c>
      <c r="R15" s="183">
        <v>129</v>
      </c>
      <c r="S15" s="183">
        <v>2076</v>
      </c>
      <c r="T15" s="183">
        <v>1858</v>
      </c>
      <c r="U15" s="183">
        <v>1934</v>
      </c>
      <c r="V15" s="183">
        <v>2014</v>
      </c>
      <c r="W15" s="183">
        <v>202</v>
      </c>
      <c r="X15" s="189">
        <v>1136</v>
      </c>
      <c r="Y15" s="202">
        <v>0</v>
      </c>
      <c r="Z15" s="183">
        <v>0</v>
      </c>
      <c r="AA15" s="183">
        <v>0</v>
      </c>
      <c r="AB15" s="183">
        <v>0</v>
      </c>
      <c r="AC15" s="183">
        <v>0</v>
      </c>
      <c r="AD15" s="183">
        <v>2</v>
      </c>
      <c r="AE15" s="183">
        <v>2</v>
      </c>
      <c r="AF15" s="189">
        <v>0</v>
      </c>
      <c r="AG15" s="202">
        <v>0</v>
      </c>
      <c r="AH15" s="183">
        <v>0</v>
      </c>
      <c r="AI15" s="183">
        <v>0</v>
      </c>
      <c r="AJ15" s="203">
        <v>0</v>
      </c>
      <c r="AK15" s="182">
        <v>0</v>
      </c>
      <c r="AL15" s="183">
        <v>0</v>
      </c>
      <c r="AM15" s="183">
        <v>0</v>
      </c>
      <c r="AN15" s="189">
        <v>0</v>
      </c>
      <c r="AO15" s="259">
        <v>3</v>
      </c>
      <c r="AP15" s="155">
        <v>3</v>
      </c>
      <c r="AQ15" s="155">
        <v>3</v>
      </c>
      <c r="AR15" s="155">
        <v>3</v>
      </c>
      <c r="AS15" s="340" t="s">
        <v>526</v>
      </c>
      <c r="AT15" s="203" t="s">
        <v>326</v>
      </c>
      <c r="AU15" s="202"/>
      <c r="AV15" s="203"/>
      <c r="AW15" s="202"/>
      <c r="AX15" s="203"/>
      <c r="AY15" s="128">
        <f t="shared" ref="AY15:BB16" si="9">IF(ISNUMBER(IF(D_I="SI",S15,S15+AK15)),IF(D_I="SI",S15,S15+AK15)," - ")</f>
        <v>2076</v>
      </c>
      <c r="AZ15" s="129">
        <f t="shared" si="9"/>
        <v>1858</v>
      </c>
      <c r="BA15" s="129">
        <f t="shared" si="9"/>
        <v>1934</v>
      </c>
      <c r="BB15" s="129">
        <f t="shared" si="9"/>
        <v>2014</v>
      </c>
      <c r="BC15" s="125">
        <f>IF(ISNUMBER(W15),W15," - ")</f>
        <v>202</v>
      </c>
      <c r="BD15" s="126">
        <f>IF(ISNUMBER(BA15/AZ15),BA15/AZ15," - ")</f>
        <v>1.0409041980624327</v>
      </c>
      <c r="BE15" s="127">
        <f>IF(ISNUMBER(BB15/BA15),BB15/BA15, " - ")</f>
        <v>1.0413650465356774</v>
      </c>
      <c r="BF15" s="127">
        <f>IF(ISNUMBER(BC15/BA15),BC15/BA15, " - ")</f>
        <v>0.10444674250258532</v>
      </c>
      <c r="BG15" s="196">
        <f t="shared" ref="BG15:BG16" si="10">IF(ISNUMBER((AY15+AZ15)/BA15),(AY15+AZ15)/BA15," - ")</f>
        <v>2.0341261633919339</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151</v>
      </c>
      <c r="J17" s="183">
        <v>206</v>
      </c>
      <c r="K17" s="183">
        <v>204</v>
      </c>
      <c r="L17" s="183">
        <v>153</v>
      </c>
      <c r="M17" s="183">
        <v>44</v>
      </c>
      <c r="N17" s="183">
        <v>126</v>
      </c>
      <c r="O17" s="183">
        <v>2</v>
      </c>
      <c r="P17" s="183">
        <v>4</v>
      </c>
      <c r="Q17" s="183">
        <v>3</v>
      </c>
      <c r="R17" s="183">
        <v>12</v>
      </c>
      <c r="S17" s="183">
        <v>166</v>
      </c>
      <c r="T17" s="183">
        <v>263</v>
      </c>
      <c r="U17" s="183">
        <v>275</v>
      </c>
      <c r="V17" s="183">
        <v>154</v>
      </c>
      <c r="W17" s="183">
        <v>56</v>
      </c>
      <c r="X17" s="189">
        <v>232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166</v>
      </c>
      <c r="AZ17" s="129">
        <f t="shared" si="14"/>
        <v>263</v>
      </c>
      <c r="BA17" s="129">
        <f t="shared" si="14"/>
        <v>275</v>
      </c>
      <c r="BB17" s="129">
        <f t="shared" si="14"/>
        <v>154</v>
      </c>
      <c r="BC17" s="125">
        <f>IF(ISNUMBER(W17),W17," - ")</f>
        <v>56</v>
      </c>
      <c r="BD17" s="126">
        <f>IF(ISNUMBER(BA17/AZ17),BA17/AZ17," - ")</f>
        <v>1.0456273764258555</v>
      </c>
      <c r="BE17" s="127">
        <f>IF(ISNUMBER(BB17/BA17),BB17/BA17, " - ")</f>
        <v>0.56000000000000005</v>
      </c>
      <c r="BF17" s="127">
        <f>IF(ISNUMBER(BC17/BA17),BC17/BA17, " - ")</f>
        <v>0.20363636363636364</v>
      </c>
      <c r="BG17" s="196">
        <f>IF(ISNUMBER((AY17+AZ17)/BA17),(AY17+AZ17)/BA17," - ")</f>
        <v>1.56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2315</v>
      </c>
      <c r="J18" s="184">
        <f t="shared" si="15"/>
        <v>2238</v>
      </c>
      <c r="K18" s="184">
        <f t="shared" si="15"/>
        <v>2153</v>
      </c>
      <c r="L18" s="184">
        <f t="shared" si="15"/>
        <v>2447</v>
      </c>
      <c r="M18" s="184">
        <f t="shared" si="15"/>
        <v>260</v>
      </c>
      <c r="N18" s="184">
        <f t="shared" si="15"/>
        <v>1311</v>
      </c>
      <c r="O18" s="184">
        <f t="shared" si="15"/>
        <v>21</v>
      </c>
      <c r="P18" s="184">
        <f t="shared" si="15"/>
        <v>26</v>
      </c>
      <c r="Q18" s="184">
        <f t="shared" si="15"/>
        <v>26</v>
      </c>
      <c r="R18" s="184">
        <f t="shared" si="15"/>
        <v>141</v>
      </c>
      <c r="S18" s="184">
        <f t="shared" si="15"/>
        <v>2242</v>
      </c>
      <c r="T18" s="184">
        <f t="shared" si="15"/>
        <v>2121</v>
      </c>
      <c r="U18" s="184">
        <f t="shared" si="15"/>
        <v>2209</v>
      </c>
      <c r="V18" s="184">
        <f t="shared" si="15"/>
        <v>2168</v>
      </c>
      <c r="W18" s="184">
        <f t="shared" si="15"/>
        <v>258</v>
      </c>
      <c r="X18" s="184">
        <f t="shared" si="15"/>
        <v>1368</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2242</v>
      </c>
      <c r="AZ18" s="184">
        <f>SUBTOTAL(9,AZ14:AZ17)</f>
        <v>2121</v>
      </c>
      <c r="BA18" s="184">
        <f>SUBTOTAL(9,BA14:BA17)</f>
        <v>2209</v>
      </c>
      <c r="BB18" s="184">
        <f>SUBTOTAL(9,BB14:BB17)</f>
        <v>2168</v>
      </c>
      <c r="BC18" s="184">
        <f>SUBTOTAL(9,BC14:BC17)</f>
        <v>258</v>
      </c>
      <c r="BD18" s="205">
        <f>IF(ISNUMBER(BA18/AZ18),BA18/AZ18," - ")</f>
        <v>1.0414898632720415</v>
      </c>
      <c r="BE18" s="206">
        <f>IF(ISNUMBER(BB18/BA18),BB18/BA18, " - ")</f>
        <v>0.98143956541421462</v>
      </c>
      <c r="BF18" s="206">
        <f>IF(ISNUMBER(BC18/BA18),BC18/BA18, " - ")</f>
        <v>0.11679492983250339</v>
      </c>
      <c r="BG18" s="207">
        <f>IF(ISNUMBER((AY18+AZ18)/BA18),(AY18+AZ18)/BA18," - ")</f>
        <v>1.9751018560434586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8423</v>
      </c>
      <c r="J19" s="134">
        <f t="shared" si="18"/>
        <v>5669</v>
      </c>
      <c r="K19" s="134">
        <f t="shared" si="18"/>
        <v>4121</v>
      </c>
      <c r="L19" s="134">
        <f t="shared" si="18"/>
        <v>10020</v>
      </c>
      <c r="M19" s="134">
        <f t="shared" si="18"/>
        <v>836</v>
      </c>
      <c r="N19" s="134">
        <f t="shared" si="18"/>
        <v>2221</v>
      </c>
      <c r="O19" s="134">
        <f t="shared" si="18"/>
        <v>747</v>
      </c>
      <c r="P19" s="134">
        <f t="shared" si="18"/>
        <v>933</v>
      </c>
      <c r="Q19" s="134">
        <f t="shared" si="18"/>
        <v>323</v>
      </c>
      <c r="R19" s="134">
        <f t="shared" si="18"/>
        <v>7230</v>
      </c>
      <c r="S19" s="134">
        <f t="shared" si="18"/>
        <v>7134</v>
      </c>
      <c r="T19" s="134">
        <f t="shared" si="18"/>
        <v>3691</v>
      </c>
      <c r="U19" s="134">
        <f t="shared" si="18"/>
        <v>3650</v>
      </c>
      <c r="V19" s="134">
        <f t="shared" si="18"/>
        <v>7188</v>
      </c>
      <c r="W19" s="134">
        <f t="shared" si="18"/>
        <v>642</v>
      </c>
      <c r="X19" s="134">
        <f t="shared" si="18"/>
        <v>1962</v>
      </c>
      <c r="Y19" s="134">
        <f t="shared" si="18"/>
        <v>187</v>
      </c>
      <c r="Z19" s="134">
        <f t="shared" si="18"/>
        <v>95</v>
      </c>
      <c r="AA19" s="134">
        <f t="shared" si="18"/>
        <v>95</v>
      </c>
      <c r="AB19" s="134">
        <f t="shared" si="18"/>
        <v>187</v>
      </c>
      <c r="AC19" s="134">
        <f t="shared" si="18"/>
        <v>0</v>
      </c>
      <c r="AD19" s="134">
        <f t="shared" si="18"/>
        <v>2</v>
      </c>
      <c r="AE19" s="134">
        <f t="shared" si="18"/>
        <v>2</v>
      </c>
      <c r="AF19" s="134">
        <f t="shared" si="18"/>
        <v>0</v>
      </c>
      <c r="AG19" s="134">
        <f t="shared" si="18"/>
        <v>135</v>
      </c>
      <c r="AH19" s="134">
        <f t="shared" si="18"/>
        <v>100</v>
      </c>
      <c r="AI19" s="134">
        <f t="shared" si="18"/>
        <v>69</v>
      </c>
      <c r="AJ19" s="134">
        <f t="shared" si="18"/>
        <v>166</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7269</v>
      </c>
      <c r="AZ19" s="134">
        <f>SUBTOTAL(9,AZ9:AZ18)</f>
        <v>3791</v>
      </c>
      <c r="BA19" s="134">
        <f>SUBTOTAL(9,BA9:BA18)</f>
        <v>3719</v>
      </c>
      <c r="BB19" s="134">
        <f>SUBTOTAL(9,BB9:BB18)</f>
        <v>7354</v>
      </c>
      <c r="BC19" s="135">
        <f>SUBTOTAL(9,BC9:BC18)</f>
        <v>848</v>
      </c>
      <c r="BD19" s="213">
        <f>IF(ISNUMBER(BA19/AZ19),BA19/AZ19," - ")</f>
        <v>0.98100764969665</v>
      </c>
      <c r="BE19" s="210">
        <f>IF(ISNUMBER(BB19/BA19),BB19/BA19, " - ")</f>
        <v>1.9774132831406293</v>
      </c>
      <c r="BF19" s="210">
        <f>IF(ISNUMBER(BC19/BA19),BC19/BA19, " - ")</f>
        <v>0.22801828448507663</v>
      </c>
      <c r="BG19" s="135">
        <f>IF(ISNUMBER((AY19+AZ19)/BA19),(AY19+AZ19)/BA19," - ")</f>
        <v>2.9739177198171554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CV+ux34o/LOq3gqRml1D+BJtlprLmWi5AMSHY7DvgLzE2/k3deqW/6idydfNWe9yQuWHgeT+4Z2aX315hJl2g==" saltValue="xBTsxVpyobSYOwq7YqDUn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K/1sLFblcdfN/qeswAXdxZ2h5SdHw9N8cmFFom6ARXWY81NQdhrNHCLPdkqZmxQN5LqJJfglOUNtzOL6H+HTg==" saltValue="9PEHBQ4qD2ik4iWxF1u7w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MANACOR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95</v>
      </c>
      <c r="O9" s="334"/>
      <c r="P9" s="334"/>
      <c r="Q9" s="226">
        <f>IF(ISNUMBER(Datos!P9),Datos!P9,0)</f>
        <v>906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297</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187</v>
      </c>
      <c r="AI9" s="334" t="str">
        <f>IF(ISNUMBER(Datos!CD9),Datos!CD9,"-")</f>
        <v>-</v>
      </c>
      <c r="AJ9" s="334" t="str">
        <f>IF(ISNUMBER(Datos!EN9),Datos!EN9," - ")</f>
        <v xml:space="preserve"> - </v>
      </c>
      <c r="AK9" s="334"/>
      <c r="AL9" s="479"/>
      <c r="AM9" s="335">
        <f>IF(ISNUMBER(Datos!R9),Datos!R9," - ")</f>
        <v>7016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568</v>
      </c>
      <c r="BD9" s="229">
        <f>IF(ISNUMBER(Datos!N9),Datos!N9," - ")</f>
        <v>904</v>
      </c>
      <c r="BE9" s="229" t="str">
        <f>IF(ISNUMBER(Datos!BW9),Datos!BW9," - ")</f>
        <v xml:space="preserve"> - </v>
      </c>
      <c r="BF9" s="228" t="str">
        <f>IF(ISNUMBER(Datos!BX9),Datos!BX9," - ")</f>
        <v xml:space="preserve"> - </v>
      </c>
      <c r="BG9" s="243">
        <f>IF(ISNUMBER(IF(J_V="SI",Datos!K9/Datos!J9,(Datos!K9+Datos!AA9)/(Datos!J9+Datos!Z9))),IF(J_V="SI",Datos!K9/Datos!J9,(Datos!K9+Datos!AA9)/(Datos!J9+Datos!Z9))," - ")</f>
        <v>0.58643388666285057</v>
      </c>
      <c r="BH9" s="260">
        <f>IF(ISNUMBER(((IF(J_V="SI",Datos!L9/Datos!K9,(Datos!L9+Datos!AB9)/(Datos!K9+Datos!AA9)))*11)/factor_trimestre),((IF(J_V="SI",Datos!L9/Datos!K9,(Datos!L9+Datos!AB9)/(Datos!K9+Datos!AA9)))*11)/factor_trimestre," - ")</f>
        <v>11.07467057101025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9.5052286561573274E-2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178</v>
      </c>
      <c r="G10" s="333">
        <f>IF(ISNUMBER(Datos!I10),Datos!I10," - ")</f>
        <v>178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v>
      </c>
      <c r="AC10" s="226">
        <f>IF(ISNUMBER(Datos!Q10),Datos!Q10," - ")</f>
        <v>0</v>
      </c>
      <c r="AD10" s="334"/>
      <c r="AE10" s="484"/>
      <c r="AF10" s="332">
        <f>IF(ISNUMBER(Datos!L10),Datos!L10,"-")</f>
        <v>196</v>
      </c>
      <c r="AG10" s="334"/>
      <c r="AH10" s="334"/>
      <c r="AI10" s="334"/>
      <c r="AJ10" s="334"/>
      <c r="AK10" s="334"/>
      <c r="AL10" s="479"/>
      <c r="AM10" s="335">
        <f>IF(ISNUMBER(Datos!R10),Datos!R10," - ")</f>
        <v>73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6</v>
      </c>
      <c r="BE10" s="229" t="str">
        <f>IF(ISNUMBER(Datos!BW10),Datos!BW10," - ")</f>
        <v xml:space="preserve"> - </v>
      </c>
      <c r="BF10" s="228" t="str">
        <f>IF(ISNUMBER(Datos!BX10),Datos!BX10," - ")</f>
        <v xml:space="preserve"> - </v>
      </c>
      <c r="BG10" s="243">
        <f>IF(ISNUMBER(Datos!K10/Datos!J10),Datos!K10/Datos!J10," - ")</f>
        <v>0.4375</v>
      </c>
      <c r="BH10" s="260">
        <f>IF(ISNUMBER(((Datos!L10/Datos!K10)*11)/factor_trimestre),((Datos!L10/Datos!K10)*11)/factor_trimestre," - ")</f>
        <v>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1.3888888888888888E-2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178</v>
      </c>
      <c r="G13" s="898">
        <f t="shared" si="0"/>
        <v>178</v>
      </c>
      <c r="H13" s="899">
        <f t="shared" si="0"/>
        <v>0</v>
      </c>
      <c r="I13" s="898">
        <f t="shared" si="0"/>
        <v>0</v>
      </c>
      <c r="J13" s="867">
        <f t="shared" si="0"/>
        <v>0</v>
      </c>
      <c r="K13" s="867">
        <f t="shared" si="0"/>
        <v>0</v>
      </c>
      <c r="L13" s="899">
        <f t="shared" si="0"/>
        <v>0</v>
      </c>
      <c r="M13" s="899">
        <f t="shared" si="0"/>
        <v>0</v>
      </c>
      <c r="N13" s="899">
        <f t="shared" si="0"/>
        <v>95</v>
      </c>
      <c r="O13" s="900">
        <f t="shared" si="0"/>
        <v>0</v>
      </c>
      <c r="P13" s="900">
        <f t="shared" si="0"/>
        <v>0</v>
      </c>
      <c r="Q13" s="899">
        <f t="shared" si="0"/>
        <v>907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v>
      </c>
      <c r="AC13" s="899">
        <f t="shared" si="1"/>
        <v>297</v>
      </c>
      <c r="AD13" s="899">
        <f t="shared" si="1"/>
        <v>0</v>
      </c>
      <c r="AE13" s="899">
        <f t="shared" si="1"/>
        <v>0</v>
      </c>
      <c r="AF13" s="899">
        <f t="shared" si="1"/>
        <v>196</v>
      </c>
      <c r="AG13" s="899">
        <f t="shared" si="1"/>
        <v>0</v>
      </c>
      <c r="AH13" s="899">
        <f t="shared" si="1"/>
        <v>187</v>
      </c>
      <c r="AI13" s="899">
        <f t="shared" si="1"/>
        <v>0</v>
      </c>
      <c r="AJ13" s="899">
        <f t="shared" si="1"/>
        <v>0</v>
      </c>
      <c r="AK13" s="899">
        <f t="shared" si="1"/>
        <v>0</v>
      </c>
      <c r="AL13" s="899">
        <f t="shared" si="1"/>
        <v>0</v>
      </c>
      <c r="AM13" s="899">
        <f t="shared" si="1"/>
        <v>7089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576</v>
      </c>
      <c r="BD13" s="899">
        <f t="shared" si="1"/>
        <v>910</v>
      </c>
      <c r="BE13" s="899">
        <f t="shared" si="1"/>
        <v>0</v>
      </c>
      <c r="BF13" s="899">
        <f t="shared" si="1"/>
        <v>0</v>
      </c>
      <c r="BG13" s="899">
        <f>IF(ISNUMBER(Datos!K13/Datos!J13),Datos!K13/Datos!J13," - ")</f>
        <v>0.57359370445934132</v>
      </c>
      <c r="BH13" s="903">
        <f>IF(ISNUMBER(((Datos!L13/Datos!K13)*11)/factor_trimestre),((Datos!L13/Datos!K13)*11)/factor_trimestre," - ")</f>
        <v>11.544207317073171</v>
      </c>
      <c r="BI13" s="899">
        <f>IF(ISNUMBER('Resol  Asuntos'!D13/NºAsuntos!G13),'Resol  Asuntos'!D13/NºAsuntos!G13," - ")</f>
        <v>0.2792050412021328</v>
      </c>
      <c r="BJ13" s="899" t="str">
        <f>IF(ISNUMBER(Datos!CI13/Datos!CJ13),Datos!CI13/Datos!CJ13," - ")</f>
        <v xml:space="preserve"> - </v>
      </c>
      <c r="BK13" s="899">
        <f>SUBTOTAL(9,BK8:BK12)</f>
        <v>0</v>
      </c>
      <c r="BL13" s="899">
        <f>IF(ISNUMBER((I13-AB13+L13)/(F13)),(I13-AB13+L13)/(F13)," - ")</f>
        <v>-7.8651685393258425E-2</v>
      </c>
      <c r="BM13" s="904">
        <f>SUBTOTAL(9,BM9:BM12)</f>
        <v>0.10894117545046217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2211</v>
      </c>
      <c r="G15" s="598">
        <f>IF(ISNUMBER(IF(D_I="SI",Datos!I15,Datos!I15+Datos!AC15)),IF(D_I="SI",Datos!I15,Datos!I15+Datos!AC15)," - ")</f>
        <v>2164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1949</v>
      </c>
      <c r="AC15" s="226">
        <f>IF(ISNUMBER(Datos!Q15),Datos!Q15," - ")</f>
        <v>23</v>
      </c>
      <c r="AD15" s="334"/>
      <c r="AE15" s="484"/>
      <c r="AF15" s="596">
        <f>IF(ISNUMBER(IF(D_I="SI",Datos!L15,Datos!L15+Datos!AF15)),IF(D_I="SI",Datos!L15,Datos!L15+Datos!AF15)," - ")</f>
        <v>2294</v>
      </c>
      <c r="AG15" s="334"/>
      <c r="AH15" s="334"/>
      <c r="AI15" s="334"/>
      <c r="AJ15" s="334"/>
      <c r="AK15" s="334"/>
      <c r="AL15" s="479"/>
      <c r="AM15" s="335">
        <f>IF(ISNUMBER(Datos!R15),Datos!R15," - ")</f>
        <v>129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216</v>
      </c>
      <c r="BD15" s="229">
        <f>IF(ISNUMBER(Datos!N15),Datos!N15," - ")</f>
        <v>1185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0.95915354330708658</v>
      </c>
      <c r="BH15" s="260">
        <f>IF(ISNUMBER(((IF(D_I="SI",Datos!L15/Datos!K15,(Datos!L15+Datos!AF15)/(Datos!K15+Datos!AE15)))*11)/factor_trimestre),((IF(D_I="SI",Datos!L15/Datos!K15,(Datos!L15+Datos!AF15)/(Datos!K15+Datos!AE15)))*11)/factor_trimestre," - ")</f>
        <v>3.5310415597742435</v>
      </c>
      <c r="BI15" s="243">
        <f>IF(ISNUMBER('Resol  Asuntos'!D15/NºAsuntos!G15),'Resol  Asuntos'!D15/NºAsuntos!G15," - ")</f>
        <v>0.11082606464853771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204</v>
      </c>
      <c r="AC17" s="226">
        <f>IF(ISNUMBER(Datos!Q17),Datos!Q17," - ")</f>
        <v>3</v>
      </c>
      <c r="AD17" s="334"/>
      <c r="AE17" s="484"/>
      <c r="AF17" s="332">
        <f>IF(ISNUMBER(Datos!L17),Datos!L17,"-")</f>
        <v>153</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44</v>
      </c>
      <c r="BD17" s="229">
        <f>IF(ISNUMBER(Datos!N17),Datos!N17," - ")</f>
        <v>126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0.99029126213592233</v>
      </c>
      <c r="BH17" s="260">
        <f>IF(ISNUMBER(((IF(D_I="SI",Datos!L17/Datos!K17,(Datos!L17+Datos!AF17)/(Datos!K17+Datos!AE17)))*11)/factor_trimestre),((IF(D_I="SI",Datos!L17/Datos!K17,(Datos!L17+Datos!AF17)/(Datos!K17+Datos!AE17)))*11)/factor_trimestre," - ")</f>
        <v>2.25</v>
      </c>
      <c r="BI17" s="243">
        <f>IF(ISNUMBER('Resol  Asuntos'!D17/NºAsuntos!G17),'Resol  Asuntos'!D17/NºAsuntos!G17," - ")</f>
        <v>0.21568627450980393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2211</v>
      </c>
      <c r="G18" s="898">
        <f>SUBTOTAL(9,G15:G17)</f>
        <v>2315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2153</v>
      </c>
      <c r="AC18" s="899">
        <f t="shared" si="4"/>
        <v>26</v>
      </c>
      <c r="AD18" s="899">
        <f t="shared" si="4"/>
        <v>0</v>
      </c>
      <c r="AE18" s="899">
        <f t="shared" si="4"/>
        <v>0</v>
      </c>
      <c r="AF18" s="899">
        <f t="shared" si="4"/>
        <v>2447</v>
      </c>
      <c r="AG18" s="899">
        <f t="shared" si="4"/>
        <v>0</v>
      </c>
      <c r="AH18" s="899">
        <f t="shared" si="4"/>
        <v>0</v>
      </c>
      <c r="AI18" s="899">
        <f t="shared" si="4"/>
        <v>0</v>
      </c>
      <c r="AJ18" s="899">
        <f t="shared" si="4"/>
        <v>0</v>
      </c>
      <c r="AK18" s="899">
        <f t="shared" si="4"/>
        <v>0</v>
      </c>
      <c r="AL18" s="899">
        <f t="shared" si="4"/>
        <v>0</v>
      </c>
      <c r="AM18" s="899">
        <f t="shared" si="4"/>
        <v>141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260</v>
      </c>
      <c r="BD18" s="899">
        <f t="shared" si="4"/>
        <v>1311</v>
      </c>
      <c r="BE18" s="899">
        <f t="shared" si="4"/>
        <v>0</v>
      </c>
      <c r="BF18" s="899">
        <f t="shared" si="4"/>
        <v>0</v>
      </c>
      <c r="BG18" s="899">
        <f>IF(ISNUMBER(Datos!K18/Datos!J18),Datos!K18/Datos!J18," - ")</f>
        <v>0.96201966041108133</v>
      </c>
      <c r="BH18" s="903">
        <f>IF(ISNUMBER(((Datos!L18/Datos!K18)*11)/factor_trimestre),((Datos!L18/Datos!K18)*11)/factor_trimestre," - ")</f>
        <v>3.4096609382257319</v>
      </c>
      <c r="BI18" s="899">
        <f>SUBTOTAL(9,BI15:BI17)</f>
        <v>0.32651233915834166</v>
      </c>
      <c r="BJ18" s="899">
        <f>SUBTOTAL(9,BJ15:BJ17)</f>
        <v>0</v>
      </c>
      <c r="BK18" s="899">
        <f>SUBTOTAL(9,BK15:BK17)</f>
        <v>0</v>
      </c>
      <c r="BL18" s="899">
        <f>IF(ISNUMBER((I18-AB18+L18)/(F18)),(I18-AB18+L18)/(F18)," - ")</f>
        <v>-0.97376752600633198</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2389</v>
      </c>
      <c r="G19" s="820">
        <f t="shared" si="6"/>
        <v>2493</v>
      </c>
      <c r="H19" s="822">
        <f t="shared" si="6"/>
        <v>0</v>
      </c>
      <c r="I19" s="820">
        <f t="shared" si="6"/>
        <v>0</v>
      </c>
      <c r="J19" s="822">
        <f t="shared" si="6"/>
        <v>0</v>
      </c>
      <c r="K19" s="822">
        <f t="shared" si="6"/>
        <v>0</v>
      </c>
      <c r="L19" s="881">
        <f t="shared" si="6"/>
        <v>0</v>
      </c>
      <c r="M19" s="881">
        <f t="shared" si="6"/>
        <v>0</v>
      </c>
      <c r="N19" s="881">
        <f t="shared" si="6"/>
        <v>95</v>
      </c>
      <c r="O19" s="881">
        <f t="shared" si="6"/>
        <v>0</v>
      </c>
      <c r="P19" s="881">
        <f t="shared" si="6"/>
        <v>0</v>
      </c>
      <c r="Q19" s="822">
        <f t="shared" si="6"/>
        <v>933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2167</v>
      </c>
      <c r="AC19" s="821">
        <f t="shared" si="7"/>
        <v>323</v>
      </c>
      <c r="AD19" s="821">
        <f t="shared" si="7"/>
        <v>0</v>
      </c>
      <c r="AE19" s="821">
        <f t="shared" si="7"/>
        <v>0</v>
      </c>
      <c r="AF19" s="828">
        <f t="shared" si="7"/>
        <v>2643</v>
      </c>
      <c r="AG19" s="828">
        <f t="shared" si="7"/>
        <v>0</v>
      </c>
      <c r="AH19" s="828">
        <f t="shared" si="7"/>
        <v>187</v>
      </c>
      <c r="AI19" s="828">
        <f t="shared" si="7"/>
        <v>0</v>
      </c>
      <c r="AJ19" s="821">
        <f t="shared" si="7"/>
        <v>0</v>
      </c>
      <c r="AK19" s="828">
        <f t="shared" si="7"/>
        <v>0</v>
      </c>
      <c r="AL19" s="828">
        <f t="shared" si="7"/>
        <v>0</v>
      </c>
      <c r="AM19" s="828">
        <f t="shared" si="7"/>
        <v>7230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836</v>
      </c>
      <c r="BD19" s="820">
        <f t="shared" si="7"/>
        <v>2221</v>
      </c>
      <c r="BE19" s="820">
        <f t="shared" si="7"/>
        <v>0</v>
      </c>
      <c r="BF19" s="830">
        <f t="shared" si="7"/>
        <v>0</v>
      </c>
      <c r="BG19" s="915">
        <f>IF(ISNUMBER(Datos!K19/Datos!J19),Datos!K19/Datos!J19," - ")</f>
        <v>0.72693596754277645</v>
      </c>
      <c r="BH19" s="915">
        <f>IF(ISNUMBER(((Datos!L19/Datos!K19)*11)/factor_trimestre),((Datos!L19/Datos!K19)*11)/factor_trimestre," - ")</f>
        <v>7.2943460325163798</v>
      </c>
      <c r="BI19" s="813">
        <f>IF(ISNUMBER(Datos!J19/Datos!I19),Datos!J19/Datos!I19," - ")</f>
        <v>0.67303810993707702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-0.90707408957722901</v>
      </c>
      <c r="BM19" s="889">
        <f>IF(ISNUMBER((Datos!P19-Datos!Q19+R19)/(Datos!R19-Datos!P19+Datos!Q19-R19)),(Datos!P19-Datos!Q19+R19)/(Datos!R19-Datos!P19+Datos!Q19-R19)," - ")</f>
        <v>9.2145015105740177E-2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997.2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2.2236106773543889</v>
      </c>
      <c r="F21" s="551">
        <f>IF(ISNUMBER(STDEV(F8:F18)),STDEV(F8:F18),"-")</f>
        <v>1173.7530972625091</v>
      </c>
      <c r="G21" s="552">
        <f>IF(ISNUMBER(STDEV(G8:G18)),STDEV(G8:G18),"-")</f>
        <v>1135.3689708636571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1086.1982784004033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246.87054637333037</v>
      </c>
      <c r="BD21" s="551"/>
      <c r="BE21" s="551">
        <f>IF(ISNUMBER(STDEV(BE8:BE18)),STDEV(BE8:BE18),"-")</f>
        <v>0</v>
      </c>
      <c r="BF21" s="556">
        <f>IF(ISNUMBER(STDEV(BF8:BF18)),STDEV(BF8:BF18),"-")</f>
        <v>0</v>
      </c>
      <c r="BG21" s="775">
        <f>IF(ISNUMBER(STDEV(BG8:BG18)),STDEV(BG8:BG18),"-")</f>
        <v>0.24574509561526103</v>
      </c>
      <c r="BH21" s="776">
        <f>IF(ISNUMBER(STDEV(BH8:BH18)),STDEV(BH8:BH18),"-")</f>
        <v>15.106938142797375</v>
      </c>
      <c r="BI21" s="249">
        <f>IF(ISNUMBER(STDEV(BI8:BI18)),STDEV(BI8:BI18),"-")</f>
        <v>9.3283949645163691E-2</v>
      </c>
      <c r="BJ21" s="230" t="str">
        <f>IF(ISNUMBER(BL21/BM21),BL21/BM21," - ")</f>
        <v xml:space="preserve"> - </v>
      </c>
      <c r="BK21" s="575"/>
      <c r="BL21" s="559">
        <f>IF(ISNUMBER(STDEV(BL8:BL18)),STDEV(BL8:BL18),"-")</f>
        <v>0.63294248084500115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3uQhDr+I6aaYQlRL7NDKjfw8jGM2zXWjYx0kK8qTzmyP6IHhrR2eh7drtkC21aobUhzASUHK6Y1v2Tu9fVM63w==" saltValue="voBEcfo9ddrjStfwThnYT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ISLAS BALEARES</v>
      </c>
    </row>
    <row r="2" spans="1:78" ht="16.5" customHeight="1">
      <c r="C2" s="528" t="str">
        <f>Criterios!A10 &amp;"  "&amp;Criterios!B10 &amp; "  " &amp; IF(NOT(ISBLANK(Criterios!A11)),Criterios!A11 &amp;"  "&amp;Criterios!B11,"")</f>
        <v>Provincias  ILLES BALEARS  Resumenes por Partidos Judiciales  MANACOR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906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297</v>
      </c>
      <c r="AA9" s="332" t="str">
        <f>IF(ISNUMBER(IF(J_V="SI",Datos!L9,Datos!L9+Datos!AB9)-IF(Monitorios="SI",Datos!CD9,0)),
                          IF(J_V="SI",Datos!L9,Datos!L9+Datos!AB9)-IF(Monitorios="SI",Datos!CD9,0),
                          " - ")</f>
        <v xml:space="preserve"> - </v>
      </c>
      <c r="AB9" s="334"/>
      <c r="AC9" s="334"/>
      <c r="AD9" s="484"/>
      <c r="AE9" s="484">
        <f>IF(ISNUMBER(Datos!R9),Datos!R9," - ")</f>
        <v>7016</v>
      </c>
      <c r="AF9" s="229" t="str">
        <f>IF(ISNUMBER(Datos!BV9),Datos!BV9," - ")</f>
        <v xml:space="preserve"> - </v>
      </c>
      <c r="AG9" s="225" t="str">
        <f>IF(ISNUMBER(Datos!DV9),Datos!DV9," - ")</f>
        <v xml:space="preserve"> - </v>
      </c>
      <c r="AH9" s="298"/>
      <c r="AI9" s="227"/>
      <c r="AJ9" s="225">
        <f>IF(ISNUMBER(Datos!M9),Datos!M9," - ")</f>
        <v>568</v>
      </c>
      <c r="AK9" s="229">
        <f>IF(ISNUMBER(Datos!N9),Datos!N9," - ")</f>
        <v>904</v>
      </c>
      <c r="AL9" s="229" t="str">
        <f>IF(ISNUMBER(Datos!BW9),Datos!BW9," - ")</f>
        <v xml:space="preserve"> - </v>
      </c>
      <c r="AM9" s="228" t="str">
        <f>IF(ISNUMBER(Datos!BX9),Datos!BX9," - ")</f>
        <v xml:space="preserve"> - </v>
      </c>
      <c r="AN9" s="243"/>
      <c r="AO9" s="260">
        <f>IF(ISNUMBER(((NºAsuntos!I9/NºAsuntos!G9)*11)/factor_trimestre),((NºAsuntos!I9/NºAsuntos!G9)*11)/factor_trimestre," - ")</f>
        <v>11.07467057101025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9.5052286561573274E-2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178</v>
      </c>
      <c r="G10" s="225">
        <f>IF(ISNUMBER(Datos!I10),Datos!I10," - ")</f>
        <v>178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v>
      </c>
      <c r="Z10" s="619">
        <f>IF(ISNUMBER(Datos!Q10),Datos!Q10," - ")</f>
        <v>0</v>
      </c>
      <c r="AA10" s="332">
        <f>IF(ISNUMBER(Datos!L10),Datos!L10,"-")</f>
        <v>196</v>
      </c>
      <c r="AB10" s="334"/>
      <c r="AC10" s="334"/>
      <c r="AD10" s="484"/>
      <c r="AE10" s="484">
        <f>IF(ISNUMBER(Datos!R10),Datos!R10," - ")</f>
        <v>73</v>
      </c>
      <c r="AF10" s="229" t="str">
        <f>IF(ISNUMBER(Datos!BV10),Datos!BV10," - ")</f>
        <v xml:space="preserve"> - </v>
      </c>
      <c r="AG10" s="225" t="str">
        <f>IF(ISNUMBER(Datos!DV10),Datos!DV10," - ")</f>
        <v xml:space="preserve"> - </v>
      </c>
      <c r="AH10" s="298"/>
      <c r="AI10" s="227"/>
      <c r="AJ10" s="225">
        <f>IF(ISNUMBER(Datos!M10),Datos!M10," - ")</f>
        <v>8</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1.3888888888888888E-2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178</v>
      </c>
      <c r="G13" s="898">
        <f>SUBTOTAL(9,G8:G12)</f>
        <v>178</v>
      </c>
      <c r="H13" s="908"/>
      <c r="I13" s="898">
        <f t="shared" ref="I13:N13" si="0">SUBTOTAL(9,I8:I12)</f>
        <v>0</v>
      </c>
      <c r="J13" s="867">
        <f t="shared" si="0"/>
        <v>0</v>
      </c>
      <c r="K13" s="908">
        <f t="shared" si="0"/>
        <v>0</v>
      </c>
      <c r="L13" s="908">
        <f t="shared" si="0"/>
        <v>0</v>
      </c>
      <c r="M13" s="908">
        <f t="shared" si="0"/>
        <v>0</v>
      </c>
      <c r="N13" s="908">
        <f t="shared" si="0"/>
        <v>907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v>
      </c>
      <c r="Z13" s="907">
        <f t="shared" si="2"/>
        <v>297</v>
      </c>
      <c r="AA13" s="900">
        <f t="shared" si="2"/>
        <v>196</v>
      </c>
      <c r="AB13" s="900">
        <f t="shared" si="2"/>
        <v>0</v>
      </c>
      <c r="AC13" s="900">
        <f t="shared" si="2"/>
        <v>0</v>
      </c>
      <c r="AD13" s="900">
        <f t="shared" si="2"/>
        <v>0</v>
      </c>
      <c r="AE13" s="900">
        <f t="shared" si="2"/>
        <v>7089</v>
      </c>
      <c r="AF13" s="908">
        <f t="shared" si="2"/>
        <v>0</v>
      </c>
      <c r="AG13" s="908">
        <f t="shared" si="2"/>
        <v>0</v>
      </c>
      <c r="AH13" s="908">
        <f t="shared" si="2"/>
        <v>0</v>
      </c>
      <c r="AI13" s="908">
        <f t="shared" si="2"/>
        <v>0</v>
      </c>
      <c r="AJ13" s="908">
        <f t="shared" si="2"/>
        <v>576</v>
      </c>
      <c r="AK13" s="908">
        <f t="shared" si="2"/>
        <v>910</v>
      </c>
      <c r="AL13" s="908">
        <f t="shared" si="2"/>
        <v>0</v>
      </c>
      <c r="AM13" s="908">
        <f t="shared" si="2"/>
        <v>0</v>
      </c>
      <c r="AN13" s="908">
        <f t="shared" si="2"/>
        <v>0</v>
      </c>
      <c r="AO13" s="904">
        <f>IF(ISNUMBER(((NºAsuntos!I13/NºAsuntos!G13)*11)/factor_trimestre),((NºAsuntos!I13/NºAsuntos!G13)*11)/factor_trimestre," - ")</f>
        <v>11.284537081919536</v>
      </c>
      <c r="AP13" s="910" t="str">
        <f>IF(ISNUMBER(Datos!CI13/Datos!CJ13),Datos!CI13/Datos!CJ13," - ")</f>
        <v xml:space="preserve"> - </v>
      </c>
      <c r="AQ13" s="928">
        <f t="shared" ref="AQ13:AV13" si="3">SUBTOTAL(9,AQ9:AQ12)</f>
        <v>0</v>
      </c>
      <c r="AR13" s="928">
        <f t="shared" si="3"/>
        <v>0.10894117545046217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2211</v>
      </c>
      <c r="G15" s="225">
        <f>IF(ISNUMBER(IF(D_I="SI",Datos!I15,Datos!I15+Datos!AC15)),IF(D_I="SI",Datos!I15,Datos!I15+Datos!AC15)," - ")</f>
        <v>2164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1949</v>
      </c>
      <c r="Z15" s="619">
        <f>IF(ISNUMBER(Datos!Q15),Datos!Q15," - ")</f>
        <v>23</v>
      </c>
      <c r="AA15" s="332">
        <f>IF(ISNUMBER(IF(D_I="SI",Datos!L15,Datos!L15+Datos!AF15)),IF(D_I="SI",Datos!L15,Datos!L15+Datos!AF15)," - ")</f>
        <v>2294</v>
      </c>
      <c r="AB15" s="334"/>
      <c r="AC15" s="334"/>
      <c r="AD15" s="484"/>
      <c r="AE15" s="484">
        <f>IF(ISNUMBER(Datos!R15),Datos!R15," - ")</f>
        <v>129</v>
      </c>
      <c r="AF15" s="229" t="str">
        <f>IF(ISNUMBER(Datos!BV15),Datos!BV15," - ")</f>
        <v xml:space="preserve"> - </v>
      </c>
      <c r="AG15" s="225"/>
      <c r="AH15" s="298"/>
      <c r="AI15" s="227"/>
      <c r="AJ15" s="225">
        <f>IF(ISNUMBER(Datos!M15),Datos!M15," - ")</f>
        <v>216</v>
      </c>
      <c r="AK15" s="229">
        <f>IF(ISNUMBER(Datos!N15),Datos!N15," - ")</f>
        <v>1185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3.5310415597742435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204</v>
      </c>
      <c r="Z17" s="619">
        <f>IF(ISNUMBER(Datos!Q17),Datos!Q17," - ")</f>
        <v>3</v>
      </c>
      <c r="AA17" s="332">
        <f>IF(ISNUMBER(Datos!L17),Datos!L17,"-")</f>
        <v>153</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44</v>
      </c>
      <c r="AK17" s="229">
        <f>IF(ISNUMBER(Datos!N17),Datos!N17," - ")</f>
        <v>126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2211</v>
      </c>
      <c r="G18" s="898">
        <f>SUBTOTAL(9,G15:G17)</f>
        <v>2315</v>
      </c>
      <c r="H18" s="932">
        <f>SUBTOTAL(9,H15:H17)</f>
        <v>0</v>
      </c>
      <c r="I18" s="911">
        <f>SUBTOTAL(9,I15:I17)</f>
        <v>0</v>
      </c>
      <c r="J18" s="867">
        <f>SUBTOTAL(9,J14:J17)</f>
        <v>0</v>
      </c>
      <c r="K18" s="932">
        <f t="shared" ref="K18:S18" si="4">SUBTOTAL(9,K15:K17)</f>
        <v>0</v>
      </c>
      <c r="L18" s="932">
        <f t="shared" si="4"/>
        <v>0</v>
      </c>
      <c r="M18" s="932">
        <f t="shared" si="4"/>
        <v>0</v>
      </c>
      <c r="N18" s="932">
        <f t="shared" si="4"/>
        <v>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2153</v>
      </c>
      <c r="Z18" s="932">
        <f t="shared" si="5"/>
        <v>26</v>
      </c>
      <c r="AA18" s="932">
        <f t="shared" si="5"/>
        <v>2447</v>
      </c>
      <c r="AB18" s="932">
        <f t="shared" si="5"/>
        <v>0</v>
      </c>
      <c r="AC18" s="932">
        <f t="shared" si="5"/>
        <v>0</v>
      </c>
      <c r="AD18" s="932">
        <f t="shared" si="5"/>
        <v>0</v>
      </c>
      <c r="AE18" s="932">
        <f t="shared" si="5"/>
        <v>141</v>
      </c>
      <c r="AF18" s="932">
        <f t="shared" si="5"/>
        <v>0</v>
      </c>
      <c r="AG18" s="932">
        <f t="shared" si="5"/>
        <v>0</v>
      </c>
      <c r="AH18" s="932">
        <f t="shared" si="5"/>
        <v>0</v>
      </c>
      <c r="AI18" s="932">
        <f t="shared" si="5"/>
        <v>0</v>
      </c>
      <c r="AJ18" s="932">
        <f t="shared" si="5"/>
        <v>260</v>
      </c>
      <c r="AK18" s="932">
        <f t="shared" si="5"/>
        <v>1311</v>
      </c>
      <c r="AL18" s="932">
        <f t="shared" si="5"/>
        <v>0</v>
      </c>
      <c r="AM18" s="932">
        <f t="shared" si="5"/>
        <v>0</v>
      </c>
      <c r="AN18" s="932">
        <f t="shared" si="5"/>
        <v>0</v>
      </c>
      <c r="AO18" s="934">
        <f>IF(ISNUMBER(((NºAsuntos!I18/NºAsuntos!G18)*11)/factor_trimestre),((NºAsuntos!I18/NºAsuntos!G18)*11)/factor_trimestre," - ")</f>
        <v>3.4096609382257319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2389</v>
      </c>
      <c r="G19" s="820">
        <f t="shared" si="7"/>
        <v>2493</v>
      </c>
      <c r="H19" s="821">
        <f t="shared" si="7"/>
        <v>0</v>
      </c>
      <c r="I19" s="820">
        <f t="shared" si="7"/>
        <v>0</v>
      </c>
      <c r="J19" s="822">
        <f t="shared" si="7"/>
        <v>0</v>
      </c>
      <c r="K19" s="820">
        <f t="shared" si="7"/>
        <v>0</v>
      </c>
      <c r="L19" s="823">
        <f t="shared" si="7"/>
        <v>0</v>
      </c>
      <c r="M19" s="820">
        <f t="shared" si="7"/>
        <v>0</v>
      </c>
      <c r="N19" s="821">
        <f t="shared" si="7"/>
        <v>933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2167</v>
      </c>
      <c r="Z19" s="827">
        <f t="shared" si="8"/>
        <v>323</v>
      </c>
      <c r="AA19" s="828">
        <f t="shared" si="8"/>
        <v>2643</v>
      </c>
      <c r="AB19" s="828">
        <f t="shared" si="8"/>
        <v>0</v>
      </c>
      <c r="AC19" s="828">
        <f t="shared" si="8"/>
        <v>0</v>
      </c>
      <c r="AD19" s="829">
        <f t="shared" si="8"/>
        <v>0</v>
      </c>
      <c r="AE19" s="829">
        <f t="shared" si="8"/>
        <v>7230</v>
      </c>
      <c r="AF19" s="830">
        <f t="shared" si="8"/>
        <v>0</v>
      </c>
      <c r="AG19" s="831">
        <f t="shared" si="8"/>
        <v>0</v>
      </c>
      <c r="AH19" s="832">
        <f t="shared" si="8"/>
        <v>0</v>
      </c>
      <c r="AI19" s="830">
        <f t="shared" si="8"/>
        <v>0</v>
      </c>
      <c r="AJ19" s="820">
        <f t="shared" si="8"/>
        <v>836</v>
      </c>
      <c r="AK19" s="820">
        <f t="shared" si="8"/>
        <v>2221</v>
      </c>
      <c r="AL19" s="820">
        <f t="shared" si="8"/>
        <v>0</v>
      </c>
      <c r="AM19" s="833">
        <f t="shared" si="8"/>
        <v>0</v>
      </c>
      <c r="AN19" s="823">
        <f>IF(ISNUMBER(Datos!K19/Datos!J19),Datos!K19/Datos!J19," - ")</f>
        <v>0.72693596754277645</v>
      </c>
      <c r="AO19" s="823">
        <f>IF(ISNUMBER(FIND("06",Criterios!A8,1)),(IF(ISNUMBER(((Datos!R19/Datos!Q19)*11)/factor_trimestre),((Datos!R19/Datos!Q19)*11)/factor_trimestre," - ")),(IF(ISNUMBER(((Datos!L19/Datos!K19)*11)/factor_trimestre),((Datos!L19/Datos!K19)*11)/factor_trimestre," - ")))</f>
        <v>7.2943460325163798</v>
      </c>
      <c r="AP19" s="834" t="str">
        <f>IF(ISNUMBER(Datos!CI19/Datos!CJ19),Datos!CI19/Datos!CJ19," - ")</f>
        <v xml:space="preserve"> - </v>
      </c>
      <c r="AQ19" s="834">
        <f>IF(OR(ISNUMBER(FIND("01",Criterios!A8,1)),ISNUMBER(FIND("02",Criterios!A8,1)),ISNUMBER(FIND("03",Criterios!A8,1)),ISNUMBER(FIND("04",Criterios!A8,1))),(J19-Y19+K19)/(F19-K19),(I19-Y19+K19)/(F19-K19))</f>
        <v>-0.90707408957722901</v>
      </c>
      <c r="AR19" s="834">
        <f>IF(ISNUMBER((Datos!P19-Datos!Q19+O19)/(Datos!R19-Datos!P19+Datos!Q19-O19)),(Datos!P19-Datos!Q19+O19)/(Datos!R19-Datos!P19+Datos!Q19-O19)," - ")</f>
        <v>9.2145015105740177E-2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997.2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1173.7530972625091</v>
      </c>
      <c r="G21" s="552">
        <f>IF(ISNUMBER(STDEV(G8:G18)),STDEV(G8:G18),"-")</f>
        <v>1135.3689708636571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246.87054637333037</v>
      </c>
      <c r="AK21" s="252"/>
      <c r="AL21" s="252">
        <f>IF(ISNUMBER(STDEV(AL8:AL18)),STDEV(AL8:AL18),"-")</f>
        <v>0</v>
      </c>
      <c r="AM21" s="254">
        <f>IF(ISNUMBER(STDEV(AM8:AM18)),STDEV(AM8:AM18),"-")</f>
        <v>0</v>
      </c>
      <c r="AN21" s="539">
        <f>IF(ISNUMBER(STDEV(AN8:AN18)),STDEV(AN8:AN18),"-")</f>
        <v>0</v>
      </c>
      <c r="AO21" s="540">
        <f>IF(ISNUMBER(STDEV(AO8:AO18)),STDEV(AO8:AO18),"-")</f>
        <v>15.109913525575362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Z9wJvL3/RUmurzl2zyNQr7Xap/HBsKX95vCRBpsyFjbi2Pwt5q5uQ9F3b6vPxpIOY0wToOPqi3paF32eYGrNTA==" saltValue="w6aLHGxkIDETQwMiUWxIX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34EuE5MAuZ9FaL0V6380s8N2XXPFVVgHbEzzA+Q2cDP+2XQAoReZ/RN938h/MD0Z/G3EBqOsiDItGdWkYGK7w==" saltValue="3pivkZMGJ9YvMghiOliC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ISLAS BALEARES</v>
      </c>
    </row>
    <row r="4" spans="1:156" ht="13.5" thickBot="1">
      <c r="A4" t="str">
        <f>Criterios!A10</f>
        <v>Provincias</v>
      </c>
      <c r="B4" t="str">
        <f>Criterios!B10</f>
        <v>ILLES BALEARS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B4Q3pvJcFPGqxG6vkW7ps1KZ5qkxJaFBfzCmK6kk+Plp0NA8CosRyIDxeEPRIzpAt6jcJskhL11d5orDfltoA==" saltValue="XNHx5JqaeabeRG9YB4BB9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ISLAS BALEARES</v>
      </c>
    </row>
    <row r="2" spans="1:78" ht="16.5" customHeight="1">
      <c r="C2" s="488" t="str">
        <f>Criterios!A10 &amp;"  "&amp;Criterios!B10 &amp; "  " &amp; IF(NOT(ISBLANK(Criterios!A11)),Criterios!A11 &amp;"  "&amp;Criterios!B11,"")</f>
        <v>Provincias  ILLES BALEARS  Resumenes por Partidos Judiciales  MANACOR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0.2792050412021328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0.19742777797549749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c25T5F+csFCWBMs8Zi5XxYqj+kKAStPPebDPajFNIY/6xlUg0szV9RX5mszCvjCEJu4zFpanhPTY4ywRu7By/g==" saltValue="qwMIQQJFPwwUTwKU+6n8a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TQ2ijEqhJK9EUukowgIgT9bpKnXt1iXOuGGLcJAL1xfuQEVmqfVNMUc0CqGe62dekyEPd2bHKzSottTjndScKg==" saltValue="LXUsyQOCUXPB78lrckm6G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ISLAS BALEARES</v>
      </c>
      <c r="C2" s="375"/>
      <c r="D2" s="375"/>
      <c r="E2" s="375"/>
      <c r="F2" s="375"/>
    </row>
    <row r="3" spans="1:69" ht="19.5">
      <c r="A3" s="390" t="s">
        <v>115</v>
      </c>
      <c r="B3" s="391" t="str">
        <f>Criterios!A10 &amp;"  "&amp;Criterios!B10</f>
        <v>Provincias  ILLES BALEARS</v>
      </c>
      <c r="D3" s="375"/>
      <c r="E3" s="375"/>
      <c r="F3" s="375"/>
      <c r="BQ3" s="471"/>
    </row>
    <row r="4" spans="1:69" ht="13.5" thickBot="1">
      <c r="A4" s="375"/>
      <c r="B4" s="391" t="str">
        <f>Criterios!A11 &amp;"  "&amp;Criterios!B11</f>
        <v>Resumenes por Partidos Judiciales  MANACOR</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6117</v>
      </c>
      <c r="D9" s="404">
        <f>IF(ISNUMBER(C9/Datos!BH9),C9/Datos!BH9," - ")</f>
        <v>1223.4000000000001</v>
      </c>
      <c r="E9" s="403">
        <f>IF(ISNUMBER(IF(J_V="SI",Datos!J9,Datos!J9+Datos!Z9)),IF(J_V="SI",Datos!J9,Datos!J9+Datos!Z9)," - ")</f>
        <v>3494</v>
      </c>
      <c r="F9" s="404">
        <f>IF(ISNUMBER(E9/B9),E9/B9," - ")</f>
        <v>698.8</v>
      </c>
      <c r="G9" s="403">
        <f>IF(ISNUMBER(IF(J_V="SI",Datos!K9,Datos!K9+Datos!AA9)),IF(J_V="SI",Datos!K9,Datos!K9+Datos!AA9)," - ")</f>
        <v>2049</v>
      </c>
      <c r="H9" s="404">
        <f>IF(ISNUMBER(G9/B9),G9/B9," - ")</f>
        <v>409.8</v>
      </c>
      <c r="I9" s="403">
        <f>IF(ISNUMBER(IF(J_V="SI",Datos!L9,Datos!L9+Datos!AB9)),IF(J_V="SI",Datos!L9,Datos!L9+Datos!AB9)," - ")</f>
        <v>7564</v>
      </c>
      <c r="J9" s="404">
        <f>IF(ISNUMBER(I9/B9),I9/B9," - ")</f>
        <v>1512.8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178</v>
      </c>
      <c r="D10" s="404">
        <f>IF(ISNUMBER(C10/Datos!BH10),C10/Datos!BH10," - ")</f>
        <v>178</v>
      </c>
      <c r="E10" s="403">
        <f>IF(ISNUMBER(Datos!J10),Datos!J10," - ")</f>
        <v>32</v>
      </c>
      <c r="F10" s="404">
        <f>IF(ISNUMBER(E10/B10),E10/B10," - ")</f>
        <v>32</v>
      </c>
      <c r="G10" s="403">
        <f>IF(ISNUMBER(Datos!K10),Datos!K10," - ")</f>
        <v>14</v>
      </c>
      <c r="H10" s="404">
        <f>IF(ISNUMBER(G10/B10),G10/B10," - ")</f>
        <v>14</v>
      </c>
      <c r="I10" s="403">
        <f>IF(ISNUMBER(Datos!L10),Datos!L10," - ")</f>
        <v>196</v>
      </c>
      <c r="J10" s="404">
        <f>IF(ISNUMBER(I10/B10),I10/B10," - ")</f>
        <v>196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6295</v>
      </c>
      <c r="D13" s="850" t="str">
        <f>IF(ISNUMBER(C13/Datos!BI13),C13/Datos!BI13," - ")</f>
        <v xml:space="preserve"> - </v>
      </c>
      <c r="E13" s="849">
        <f>SUBTOTAL(9,E8:E12)</f>
        <v>3526</v>
      </c>
      <c r="F13" s="850">
        <f>IF(ISNUMBER(E13/B13),E13/B13," - ")</f>
        <v>705.2</v>
      </c>
      <c r="G13" s="849">
        <f>SUBTOTAL(9,G8:G12)</f>
        <v>2063</v>
      </c>
      <c r="H13" s="850">
        <f>IF(ISNUMBER(G13/B13),G13/B13," - ")</f>
        <v>412.6</v>
      </c>
      <c r="I13" s="849">
        <f>SUBTOTAL(9,I8:I12)</f>
        <v>7760</v>
      </c>
      <c r="J13" s="850">
        <f>IF(ISNUMBER(I13/B13),I13/B13," - ")</f>
        <v>1552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2164</v>
      </c>
      <c r="D15" s="404">
        <f>IF(ISNUMBER(C15/Datos!BH15),C15/Datos!BH15," - ")</f>
        <v>721.33333333333337</v>
      </c>
      <c r="E15" s="403">
        <f>IF(ISNUMBER(IF(D_I="SI",Datos!J15,Datos!J15+Datos!AD15)),IF(D_I="SI",Datos!J15,Datos!J15+Datos!AD15)," - ")</f>
        <v>2032</v>
      </c>
      <c r="F15" s="404">
        <f>IF(ISNUMBER(E15/B15),E15/B15," - ")</f>
        <v>677.33333333333337</v>
      </c>
      <c r="G15" s="403">
        <f>IF(ISNUMBER(IF(D_I="SI",Datos!K15,Datos!K15+Datos!AE15)),IF(D_I="SI",Datos!K15,Datos!K15+Datos!AE15)," - ")</f>
        <v>1949</v>
      </c>
      <c r="H15" s="404">
        <f>IF(ISNUMBER(G15/B15),G15/B15," - ")</f>
        <v>649.66666666666663</v>
      </c>
      <c r="I15" s="403">
        <f>IF(ISNUMBER(IF(D_I="SI",Datos!L15,Datos!L15+Datos!AF15)),IF(D_I="SI",Datos!L15,Datos!L15+Datos!AF15)," - ")</f>
        <v>2294</v>
      </c>
      <c r="J15" s="404">
        <f>IF(ISNUMBER(I15/B15),I15/B15," - ")</f>
        <v>764.66666666666663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151</v>
      </c>
      <c r="D17" s="404">
        <f>IF(ISNUMBER(C17/Datos!BH17),C17/Datos!BH17," - ")</f>
        <v>151</v>
      </c>
      <c r="E17" s="403">
        <f>IF(ISNUMBER(IF(D_I="SI",Datos!J17,Datos!J17+Datos!AD17)),IF(D_I="SI",Datos!J17,Datos!J17+Datos!AD17)," - ")</f>
        <v>206</v>
      </c>
      <c r="F17" s="404">
        <f>IF(ISNUMBER(E17/B17),E17/B17," - ")</f>
        <v>206</v>
      </c>
      <c r="G17" s="403">
        <f>IF(ISNUMBER(IF(D_I="SI",Datos!K17,Datos!K17+Datos!AE17)),IF(D_I="SI",Datos!K17,Datos!K17+Datos!AE17)," - ")</f>
        <v>204</v>
      </c>
      <c r="H17" s="404">
        <f>IF(ISNUMBER(G17/B17),G17/B17," - ")</f>
        <v>204</v>
      </c>
      <c r="I17" s="403">
        <f>IF(ISNUMBER(IF(D_I="SI",Datos!L17,Datos!L17+Datos!AF17)),IF(D_I="SI",Datos!L17,Datos!L17+Datos!AF17)," - ")</f>
        <v>153</v>
      </c>
      <c r="J17" s="404">
        <f>IF(ISNUMBER(I17/B17),I17/B17," - ")</f>
        <v>153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2315</v>
      </c>
      <c r="D18" s="850" t="str">
        <f>IF(ISNUMBER(C18/Datos!BI18),C18/Datos!BI18," - ")</f>
        <v xml:space="preserve"> - </v>
      </c>
      <c r="E18" s="849">
        <f>SUBTOTAL(9,E14:E17)</f>
        <v>2238</v>
      </c>
      <c r="F18" s="850">
        <f>IF(ISNUMBER(E18/B18),E18/B18," - ")</f>
        <v>746</v>
      </c>
      <c r="G18" s="849">
        <f>SUBTOTAL(9,G14:G17)</f>
        <v>2153</v>
      </c>
      <c r="H18" s="850">
        <f>IF(ISNUMBER(G18/B18),G18/B18," - ")</f>
        <v>717.66666666666663</v>
      </c>
      <c r="I18" s="849">
        <f>SUBTOTAL(9,I14:I17)</f>
        <v>2447</v>
      </c>
      <c r="J18" s="850">
        <f>IF(ISNUMBER(I18/B18),I18/B18," - ")</f>
        <v>815.66666666666663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8610</v>
      </c>
      <c r="D19" s="795" t="str">
        <f>IF(ISNUMBER(C19/Datos!BI19),C19/Datos!BI19," - ")</f>
        <v xml:space="preserve"> - </v>
      </c>
      <c r="E19" s="794">
        <f>SUBTOTAL(9,E9:E18)</f>
        <v>5764</v>
      </c>
      <c r="F19" s="795">
        <f>IF(ISNUMBER(E19/B19),E19/B19," - ")</f>
        <v>720.5</v>
      </c>
      <c r="G19" s="794">
        <f>SUBTOTAL(9,G9:G18)</f>
        <v>4216</v>
      </c>
      <c r="H19" s="795">
        <f>IF(ISNUMBER(G19/B19),G19/B19," - ")</f>
        <v>527</v>
      </c>
      <c r="I19" s="794">
        <f>SUBTOTAL(9,I9:I18)</f>
        <v>10207</v>
      </c>
      <c r="J19" s="795">
        <f>IF(ISNUMBER(I19/B19),I19/B19," - ")</f>
        <v>1275.875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DjEA034DALjCKQ9vyJxwjsw20xvQ8xpdkHd0H7PfCC0cVdmmUGOR1OtHRIQ+4stihphJQ41dPtCaS4/V2x4g5A==" saltValue="m4oONT7ys4DKHIj0Ub7E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ISLAS BALEARES</v>
      </c>
      <c r="W1"/>
      <c r="X1"/>
    </row>
    <row r="2" spans="1:78" ht="16.5" customHeight="1">
      <c r="C2" s="488" t="str">
        <f>Criterios!A10 &amp;"  "&amp;Criterios!B10 &amp; "  " &amp; IF(NOT(ISBLANK(Criterios!A11)),Criterios!A11 &amp;"  "&amp;Criterios!B11,"")</f>
        <v>Provincias  ILLES BALEARS  Resumenes por Partidos Judiciales  MANACOR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178</v>
      </c>
      <c r="G10" s="684">
        <f>IF(ISNUMBER(Datos!I10),Datos!I10," - ")</f>
        <v>178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v>
      </c>
      <c r="AC10" s="683" t="str">
        <f>IF(ISNUMBER(IF(D_I="SI",DatosP!K17,DatosP!K17+DatosP!AE17)),IF(D_I="SI",DatosP!K17,DatosP!K17+DatosP!AE17)," - ")</f>
        <v xml:space="preserve"> - </v>
      </c>
      <c r="AD10" s="685"/>
      <c r="AE10" s="685"/>
      <c r="AF10" s="688">
        <f>IF(ISNUMBER(Datos!L10),Datos!L10,"-")</f>
        <v>196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178</v>
      </c>
      <c r="G13" s="938">
        <f t="shared" si="0"/>
        <v>178</v>
      </c>
      <c r="H13" s="938">
        <f t="shared" si="0"/>
        <v>0</v>
      </c>
      <c r="I13" s="940">
        <f t="shared" si="0"/>
        <v>0</v>
      </c>
      <c r="J13" s="939">
        <f t="shared" si="0"/>
        <v>0</v>
      </c>
      <c r="K13" s="939">
        <f t="shared" si="0"/>
        <v>0</v>
      </c>
      <c r="L13" s="941">
        <f t="shared" si="0"/>
        <v>0</v>
      </c>
      <c r="M13" s="941">
        <f t="shared" si="0"/>
        <v>0</v>
      </c>
      <c r="N13" s="939">
        <f t="shared" si="0"/>
        <v>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v>
      </c>
      <c r="AC13" s="939">
        <f t="shared" si="1"/>
        <v>0</v>
      </c>
      <c r="AD13" s="939">
        <f t="shared" si="1"/>
        <v>0</v>
      </c>
      <c r="AE13" s="939">
        <f t="shared" si="1"/>
        <v>0</v>
      </c>
      <c r="AF13" s="939">
        <f t="shared" si="1"/>
        <v>196</v>
      </c>
      <c r="AG13" s="939">
        <f t="shared" si="1"/>
        <v>0</v>
      </c>
      <c r="AH13" s="939">
        <f t="shared" si="1"/>
        <v>0</v>
      </c>
      <c r="AI13" s="939">
        <f t="shared" si="1"/>
        <v>0</v>
      </c>
      <c r="AJ13" s="939">
        <f t="shared" si="1"/>
        <v>0</v>
      </c>
      <c r="AK13" s="939">
        <f t="shared" si="1"/>
        <v>0</v>
      </c>
      <c r="AL13" s="939">
        <f t="shared" si="1"/>
        <v>8</v>
      </c>
      <c r="AM13" s="939">
        <f t="shared" si="1"/>
        <v>6</v>
      </c>
      <c r="AN13" s="939">
        <f t="shared" si="1"/>
        <v>0</v>
      </c>
      <c r="AO13" s="939">
        <f t="shared" si="1"/>
        <v>0</v>
      </c>
      <c r="AP13" s="944">
        <f>IF(ISNUMBER(((Datos!L13/Datos!K13)*11)/factor_trimestre),((Datos!L13/Datos!K13)*11)/factor_trimestre," - ")</f>
        <v>11.544207317073171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-7.8651685393258425E-2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3.4096609382257319</v>
      </c>
      <c r="AQ18" s="944">
        <f>IF(ISNUMBER(((Datos!M18/Datos!L18)*11)/factor_trimestre),((Datos!M18/Datos!L18)*11)/factor_trimestre," - ")</f>
        <v>0.31875766244380871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-4.8790835808230799E-2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178</v>
      </c>
      <c r="G19" s="951">
        <f t="shared" si="4"/>
        <v>178</v>
      </c>
      <c r="H19" s="951">
        <f t="shared" si="4"/>
        <v>0</v>
      </c>
      <c r="I19" s="952">
        <f t="shared" si="4"/>
        <v>0</v>
      </c>
      <c r="J19" s="953">
        <f t="shared" si="4"/>
        <v>0</v>
      </c>
      <c r="K19" s="953">
        <f t="shared" si="4"/>
        <v>0</v>
      </c>
      <c r="L19" s="953">
        <f t="shared" si="4"/>
        <v>0</v>
      </c>
      <c r="M19" s="953">
        <f t="shared" si="4"/>
        <v>0</v>
      </c>
      <c r="N19" s="952">
        <f t="shared" si="4"/>
        <v>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v>
      </c>
      <c r="AC19" s="957">
        <f t="shared" si="5"/>
        <v>0</v>
      </c>
      <c r="AD19" s="957">
        <f t="shared" si="5"/>
        <v>0</v>
      </c>
      <c r="AE19" s="957">
        <f t="shared" si="5"/>
        <v>0</v>
      </c>
      <c r="AF19" s="958">
        <f t="shared" si="5"/>
        <v>196</v>
      </c>
      <c r="AG19" s="958">
        <f t="shared" si="5"/>
        <v>0</v>
      </c>
      <c r="AH19" s="958">
        <f t="shared" si="5"/>
        <v>0</v>
      </c>
      <c r="AI19" s="958">
        <f t="shared" si="5"/>
        <v>0</v>
      </c>
      <c r="AJ19" s="959">
        <f t="shared" si="5"/>
        <v>0</v>
      </c>
      <c r="AK19" s="959">
        <f t="shared" si="5"/>
        <v>0</v>
      </c>
      <c r="AL19" s="951">
        <f t="shared" si="5"/>
        <v>8</v>
      </c>
      <c r="AM19" s="951">
        <f t="shared" si="5"/>
        <v>6</v>
      </c>
      <c r="AN19" s="951">
        <f t="shared" si="5"/>
        <v>0</v>
      </c>
      <c r="AO19" s="951">
        <f t="shared" si="5"/>
        <v>0</v>
      </c>
      <c r="AP19" s="951">
        <f>IF(ISNUMBER(((Datos!L19/Datos!K19)*11)/factor_trimestre),((Datos!L19/Datos!K19)*11)/factor_trimestre," - ")</f>
        <v>7.2943460325163798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-7.8651685393258425E-2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9.2145015105740177E-2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118.66666666666667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102.76834791575338</v>
      </c>
      <c r="G21" s="737">
        <f>IF(ISNUMBER(STDEV(G8:G18)),STDEV(G8:G18),"-")</f>
        <v>102.76834791575338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8.0829037686547611</v>
      </c>
      <c r="AC21" s="738">
        <f>IF(ISNUMBER(STDEV(AC8:AC18)),STDEV(AC8:AC18),"-")</f>
        <v>0</v>
      </c>
      <c r="AD21" s="741"/>
      <c r="AE21" s="741"/>
      <c r="AF21" s="741"/>
      <c r="AG21" s="741"/>
      <c r="AH21" s="741"/>
      <c r="AI21" s="741"/>
      <c r="AJ21" s="742">
        <f>IF(ISNUMBER(STDEV(AJ8:AJ18)),STDEV(AJ8:AJ18),"-")</f>
        <v>0</v>
      </c>
      <c r="AK21" s="744"/>
      <c r="AL21" s="736">
        <f>IF(ISNUMBER(STDEV(AL8:AL18)),STDEV(AL8:AL18),"-")</f>
        <v>4.6188021535170067</v>
      </c>
      <c r="AM21" s="736"/>
      <c r="AN21" s="736">
        <f>IF(ISNUMBER(STDEV(AN8:AN18)),STDEV(AN8:AN18),"-")</f>
        <v>0</v>
      </c>
      <c r="AO21" s="742">
        <f>IF(ISNUMBER(STDEV(AO8:AO18)),STDEV(AO8:AO18),"-")</f>
        <v>0</v>
      </c>
      <c r="AP21" s="779">
        <f>IF(ISNUMBER(STDEV(AP8:AP18)),STDEV(AP8:AP18),"-")</f>
        <v>20.342649866875504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4apDIz0ga/oRywTvQ/shQ7QZAYs8NBfXAdy6d1JuPH+Mjcj5NlEKG9SNxFNbFnj/HM8X/PL/aepvqxgviS2mA==" saltValue="7bWE1mcXANZsizIndAUKS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MANACOR</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MitpYeDECet/gPQq6RbO4dg2SOqgqUsYrWBhS+aKSi92qXKqQ0KWg5do3FdcWH8IGnZtiBMX1zMfWf2duYnUvw==" saltValue="cGukSHjIWMff7NjnSH/GK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ISLAS BALEARES</v>
      </c>
      <c r="C2" s="391"/>
    </row>
    <row r="3" spans="1:78" ht="19.5">
      <c r="A3" s="425" t="s">
        <v>11</v>
      </c>
      <c r="B3" s="391" t="str">
        <f>Criterios!A10 &amp;"  "&amp;Criterios!B10</f>
        <v>Provincias  ILLES BALEARS</v>
      </c>
      <c r="C3" s="391"/>
      <c r="D3" s="425"/>
      <c r="BZ3" s="471"/>
    </row>
    <row r="4" spans="1:78" ht="13.5" thickBot="1">
      <c r="B4" s="391" t="str">
        <f>Criterios!A11 &amp;"  "&amp;Criterios!B11</f>
        <v>Resumenes por Partidos Judiciales  MANACOR</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568</v>
      </c>
      <c r="E9" s="404">
        <f t="shared" ref="E9:E13" si="0">IF(ISNUMBER(D9/B9),D9/B9," - ")</f>
        <v>113.6</v>
      </c>
      <c r="F9" s="403">
        <f>IF(ISNUMBER(Datos!N9),Datos!N9," - ")</f>
        <v>904</v>
      </c>
      <c r="G9" s="404">
        <f t="shared" ref="G9:G13" si="1">IF(ISNUMBER(F9/B9),F9/B9," - ")</f>
        <v>180.8</v>
      </c>
      <c r="H9" s="403">
        <f>IF(ISNUMBER(Datos!O9),Datos!O9," - ")</f>
        <v>725</v>
      </c>
      <c r="I9" s="404">
        <f>IF(ISNUMBER(H9/B9),H9/B9," - ")</f>
        <v>145</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6</v>
      </c>
      <c r="G10" s="404">
        <f>IF(ISNUMBER(F10/B10),F10/B10," - ")</f>
        <v>6</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5</v>
      </c>
      <c r="C13" s="851">
        <f>Datos!AR13</f>
        <v>5</v>
      </c>
      <c r="D13" s="849">
        <f>SUBTOTAL(9,D9:D12)</f>
        <v>576</v>
      </c>
      <c r="E13" s="850">
        <f t="shared" si="0"/>
        <v>115.2</v>
      </c>
      <c r="F13" s="849">
        <f>SUBTOTAL(9,F9:F12)</f>
        <v>910</v>
      </c>
      <c r="G13" s="850">
        <f t="shared" si="1"/>
        <v>182</v>
      </c>
      <c r="H13" s="849">
        <f>SUBTOTAL(9,H9:H12)</f>
        <v>726</v>
      </c>
      <c r="I13" s="850">
        <f>IF(ISNUMBER(H13/B13),H13/B13," - ")</f>
        <v>145.19999999999999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216</v>
      </c>
      <c r="E15" s="404">
        <f t="shared" ref="E15:E18" si="3">IF(ISNUMBER(D15/B15),D15/B15," - ")</f>
        <v>72</v>
      </c>
      <c r="F15" s="403">
        <f>IF(ISNUMBER(Datos!N15),Datos!N15," - ")</f>
        <v>1185</v>
      </c>
      <c r="G15" s="404">
        <f t="shared" ref="G15:G18" si="4">IF(ISNUMBER(F15/B15),F15/B15," - ")</f>
        <v>395</v>
      </c>
      <c r="H15" s="403">
        <f>IF(ISNUMBER(Datos!O15),Datos!O15," - ")</f>
        <v>19</v>
      </c>
      <c r="I15" s="404">
        <f t="shared" ref="I15:I17" si="5">IF(ISNUMBER(H15/B15),H15/B15," - ")</f>
        <v>6.333333333333333</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44</v>
      </c>
      <c r="E17" s="404">
        <f>IF(ISNUMBER(D17/B17),D17/B17," - ")</f>
        <v>44</v>
      </c>
      <c r="F17" s="403">
        <f>IF(ISNUMBER(Datos!N17),Datos!N17," - ")</f>
        <v>126</v>
      </c>
      <c r="G17" s="404">
        <f>IF(ISNUMBER(F17/B17),F17/B17," - ")</f>
        <v>126</v>
      </c>
      <c r="H17" s="403">
        <f>IF(ISNUMBER(Datos!O17),Datos!O17," - ")</f>
        <v>2</v>
      </c>
      <c r="I17" s="404">
        <f t="shared" si="5"/>
        <v>2</v>
      </c>
      <c r="BZ17" s="1186">
        <f>Datos!EZ17</f>
        <v>0</v>
      </c>
    </row>
    <row r="18" spans="1:78" ht="14.25" thickTop="1" thickBot="1">
      <c r="A18" s="848" t="str">
        <f>Datos!A18</f>
        <v>TOTAL</v>
      </c>
      <c r="B18" s="849">
        <f>Datos!AP18</f>
        <v>3</v>
      </c>
      <c r="C18" s="851">
        <f>Datos!AR18</f>
        <v>3</v>
      </c>
      <c r="D18" s="849">
        <f>SUBTOTAL(9,D15:D17)</f>
        <v>260</v>
      </c>
      <c r="E18" s="850">
        <f t="shared" si="3"/>
        <v>86.666666666666671</v>
      </c>
      <c r="F18" s="849">
        <f>SUBTOTAL(9,F15:F17)</f>
        <v>1311</v>
      </c>
      <c r="G18" s="850">
        <f t="shared" si="4"/>
        <v>437</v>
      </c>
      <c r="H18" s="849">
        <f>SUBTOTAL(9,H15:H17)</f>
        <v>21</v>
      </c>
      <c r="I18" s="850">
        <f>IF(ISNUMBER(H18/B18),H18/B18," - ")</f>
        <v>7</v>
      </c>
      <c r="BZ18" s="1186"/>
    </row>
    <row r="19" spans="1:78" ht="14.25" thickTop="1" thickBot="1">
      <c r="A19" s="793" t="str">
        <f>Datos!A19</f>
        <v>TOTAL JURISDICCIONES</v>
      </c>
      <c r="B19" s="794">
        <f>Datos!AP19</f>
        <v>8</v>
      </c>
      <c r="C19" s="794">
        <f>Datos!AR19</f>
        <v>8</v>
      </c>
      <c r="D19" s="794">
        <f>SUBTOTAL(9,D8:D18)</f>
        <v>836</v>
      </c>
      <c r="E19" s="795">
        <f>IF(ISNUMBER(D19/B19),D19/B19," - ")</f>
        <v>104.5</v>
      </c>
      <c r="F19" s="794">
        <f>SUBTOTAL(9,F8:F18)</f>
        <v>2221</v>
      </c>
      <c r="G19" s="795">
        <f>IF(ISNUMBER(F19/B19),F19/B19," - ")</f>
        <v>277.625</v>
      </c>
      <c r="H19" s="794">
        <f>SUBTOTAL(9,H8:H18)</f>
        <v>747</v>
      </c>
      <c r="I19" s="795">
        <f>IF(ISNUMBER(H19/B19),H19/B19," - ")</f>
        <v>93.375</v>
      </c>
    </row>
    <row r="22" spans="1:78">
      <c r="A22" s="391" t="str">
        <f>Criterios!A4</f>
        <v>Fecha Informe: 03 jun. 2025</v>
      </c>
    </row>
    <row r="27" spans="1:78">
      <c r="A27" s="414"/>
    </row>
  </sheetData>
  <sheetProtection algorithmName="SHA-512" hashValue="gB+Wm1BPLenzky8bjLoQyX8VzV0joTvT6/g7Uhd1PFTKvNnOf/VD1+VXd1CYcrm+yxorg3ddO+7P42WjuyyEOw==" saltValue="9g64GiDO8MkR880Rodj5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MANACOR</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906</v>
      </c>
      <c r="C9" s="434">
        <f>IF(ISNUMBER(Datos!Q9),Datos!Q9," - ")</f>
        <v>297</v>
      </c>
      <c r="D9" s="408">
        <f>IF(ISNUMBER(Datos!R9),Datos!R9," - ")</f>
        <v>7016</v>
      </c>
    </row>
    <row r="10" spans="1:4">
      <c r="A10" s="402" t="str">
        <f>Datos!A10</f>
        <v>Jdos. Violencia contra la mujer</v>
      </c>
      <c r="B10" s="433">
        <f>IF(ISNUMBER(Datos!P10),Datos!P10," - ")</f>
        <v>1</v>
      </c>
      <c r="C10" s="434">
        <f>IF(ISNUMBER(Datos!Q10),Datos!Q10," - ")</f>
        <v>0</v>
      </c>
      <c r="D10" s="408">
        <f>IF(ISNUMBER(Datos!R10),Datos!R10," - ")</f>
        <v>73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907</v>
      </c>
      <c r="C13" s="853">
        <f>SUBTOTAL(9,C9:C12)</f>
        <v>297</v>
      </c>
      <c r="D13" s="851">
        <f>SUBTOTAL(9,D9:D12)</f>
        <v>7089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22</v>
      </c>
      <c r="C15" s="434">
        <f>IF(ISNUMBER(Datos!Q15),Datos!Q15," - ")</f>
        <v>23</v>
      </c>
      <c r="D15" s="408">
        <f>IF(ISNUMBER(Datos!R15),Datos!R15," - ")</f>
        <v>129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3</v>
      </c>
      <c r="D17" s="408">
        <f>IF(ISNUMBER(Datos!R17),Datos!R17," - ")</f>
        <v>12</v>
      </c>
    </row>
    <row r="18" spans="1:4" ht="14.25" thickTop="1" thickBot="1">
      <c r="A18" s="848" t="str">
        <f>Datos!A18</f>
        <v>TOTAL</v>
      </c>
      <c r="B18" s="849">
        <f>SUBTOTAL(9,B15:B17)</f>
        <v>26</v>
      </c>
      <c r="C18" s="853">
        <f>SUBTOTAL(9,C15:C17)</f>
        <v>26</v>
      </c>
      <c r="D18" s="851">
        <f>SUBTOTAL(9,D15:D17)</f>
        <v>141</v>
      </c>
    </row>
    <row r="19" spans="1:4" ht="16.5" customHeight="1" thickTop="1" thickBot="1">
      <c r="A19" s="793" t="str">
        <f>Datos!A19</f>
        <v>TOTAL JURISDICCIONES</v>
      </c>
      <c r="B19" s="798">
        <f>SUBTOTAL(9,B8:B18)</f>
        <v>933</v>
      </c>
      <c r="C19" s="799">
        <f>SUBTOTAL(9,C8:C18)</f>
        <v>323</v>
      </c>
      <c r="D19" s="800">
        <f>SUBTOTAL(9,D8:D18)</f>
        <v>7230</v>
      </c>
    </row>
    <row r="20" spans="1:4" ht="7.5" customHeight="1"/>
    <row r="21" spans="1:4" ht="6" customHeight="1"/>
    <row r="22" spans="1:4">
      <c r="A22" s="391" t="str">
        <f>Criterios!A4</f>
        <v>Fecha Informe: 03 jun. 2025</v>
      </c>
    </row>
    <row r="27" spans="1:4">
      <c r="A27" s="414"/>
    </row>
  </sheetData>
  <sheetProtection algorithmName="SHA-512" hashValue="gIgPYU3TOUhd+2nJMhDQIAUhpQrNEUA3oZXfquFqKMpHxLA5kE1ph2ybteRQhvBZxQcjdWCK6GQYHiZewAqhfA==" saltValue="2oYaXu06bluurvDtLrJ7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MANACOR</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0.25864197530864197</v>
      </c>
      <c r="C9" s="456">
        <f>IF(ISNUMBER(
   IF(J_V="SI",(Datos!J9-Datos!T9)/Datos!T9,(Datos!J9+Datos!Z9-(Datos!T9+Datos!AH9))/(Datos!T9+Datos!AH9))
     ),IF(J_V="SI",(Datos!J9-Datos!T9)/Datos!T9,(Datos!J9+Datos!Z9-(Datos!T9+Datos!AH9))/(Datos!T9+Datos!AH9))," - ")</f>
        <v>1.1099033816425121</v>
      </c>
      <c r="D9" s="456">
        <f>IF(ISNUMBER(
   IF(J_V="SI",(Datos!K9-Datos!U9)/Datos!U9,(Datos!K9+Datos!AA9-(Datos!U9+Datos!AI9))/(Datos!U9+Datos!AI9))
     ),IF(J_V="SI",(Datos!K9-Datos!U9)/Datos!U9,(Datos!K9+Datos!AA9-(Datos!U9+Datos!AI9))/(Datos!U9+Datos!AI9))," - ")</f>
        <v>0.37424547283702214</v>
      </c>
      <c r="E9" s="456">
        <f>IF(ISNUMBER(
   IF(J_V="SI",(Datos!L9-Datos!V9)/Datos!V9,(Datos!L9+Datos!AB9-(Datos!V9+Datos!AJ9))/(Datos!V9+Datos!AJ9))
     ),IF(J_V="SI",(Datos!L9-Datos!V9)/Datos!V9,(Datos!L9+Datos!AB9-(Datos!V9+Datos!AJ9))/(Datos!V9+Datos!AJ9))," - ")</f>
        <v>0.50557324840764328</v>
      </c>
      <c r="F9" s="456">
        <f>IF(ISNUMBER((Datos!M9-Datos!W9)/Datos!W9),(Datos!M9-Datos!W9)/Datos!W9," - ")</f>
        <v>0.50663129973474796</v>
      </c>
      <c r="G9" s="457">
        <f>IF(ISNUMBER((Datos!N9-Datos!X9)/Datos!X9),(Datos!N9-Datos!X9)/Datos!X9," - ")</f>
        <v>0.55060034305317329</v>
      </c>
      <c r="H9" s="455">
        <f>IF(ISNUMBER(((NºAsuntos!G9/NºAsuntos!E9)-Datos!BD9)/Datos!BD9),((NºAsuntos!G9/NºAsuntos!E9)-Datos!BD9)/Datos!BD9," - ")</f>
        <v>-0.34866900314307142</v>
      </c>
      <c r="I9" s="456">
        <f>IF(ISNUMBER(((NºAsuntos!I9/NºAsuntos!G9)-Datos!BE9)/Datos!BE9),((NºAsuntos!I9/NºAsuntos!G9)-Datos!BE9)/Datos!BE9," - ")</f>
        <v>9.5563549719763885E-2</v>
      </c>
      <c r="J9" s="461">
        <f>IF(ISNUMBER((('Resol  Asuntos'!D9/NºAsuntos!G9)-Datos!BF9)/Datos!BF9),(('Resol  Asuntos'!D9/NºAsuntos!G9)-Datos!BF9)/Datos!BF9," - ")</f>
        <v>-0.29105022991594443</v>
      </c>
      <c r="K9" s="462">
        <f>IF(ISNUMBER((((NºAsuntos!C9+NºAsuntos!E9)/NºAsuntos!G9)-Datos!BG9)/Datos!BG9),(((NºAsuntos!C9+NºAsuntos!E9)/NºAsuntos!G9)-Datos!BG9)/Datos!BG9," - ")</f>
        <v>7.3305084364919532E-2</v>
      </c>
    </row>
    <row r="10" spans="1:11">
      <c r="A10" s="402" t="str">
        <f>Datos!A10</f>
        <v>Jdos. Violencia contra la mujer</v>
      </c>
      <c r="B10" s="455">
        <f>IF(ISNUMBER((Datos!I10-Datos!S10)/Datos!S10),(Datos!I10-Datos!S10)/Datos!S10," - ")</f>
        <v>6.5868263473053898E-2</v>
      </c>
      <c r="C10" s="456">
        <f>IF(ISNUMBER((Datos!J10-Datos!T10)/Datos!T10),(Datos!J10-Datos!T10)/Datos!T10," - ")</f>
        <v>1.2857142857142858</v>
      </c>
      <c r="D10" s="456">
        <f>IF(ISNUMBER((Datos!K10-Datos!U10)/Datos!U10),(Datos!K10-Datos!U10)/Datos!U10," - ")</f>
        <v>-0.26315789473684209</v>
      </c>
      <c r="E10" s="456">
        <f>IF(ISNUMBER((Datos!L10-Datos!V10)/Datos!V10),(Datos!L10-Datos!V10)/Datos!V10," - ")</f>
        <v>0.20987654320987653</v>
      </c>
      <c r="F10" s="456">
        <f>IF(ISNUMBER((Datos!M10-Datos!W10)/Datos!W10),(Datos!M10-Datos!W10)/Datos!W10," - ")</f>
        <v>0.14285714285714285</v>
      </c>
      <c r="G10" s="457">
        <f>IF(ISNUMBER((Datos!N10-Datos!X10)/Datos!X10),(Datos!N10-Datos!X10)/Datos!X10," - ")</f>
        <v>-0.45454545454545453</v>
      </c>
      <c r="H10" s="455">
        <f>IF(ISNUMBER(((NºAsuntos!G10/NºAsuntos!E10)-Datos!BD10)/Datos!BD10),((NºAsuntos!G10/NºAsuntos!E10)-Datos!BD10)/Datos!BD10," - ")</f>
        <v>-0.67763157894736847</v>
      </c>
      <c r="I10" s="456">
        <f>IF(ISNUMBER(((NºAsuntos!I10/NºAsuntos!G10)-Datos!BE10)/Datos!BE10),((NºAsuntos!I10/NºAsuntos!G10)-Datos!BE10)/Datos!BE10," - ")</f>
        <v>0.64197530864197516</v>
      </c>
      <c r="J10" s="461">
        <f>IF(ISNUMBER((('Resol  Asuntos'!D10/NºAsuntos!G10)-Datos!BF10)/Datos!BF10),(('Resol  Asuntos'!D10/NºAsuntos!G10)-Datos!BF10)/Datos!BF10," - ")</f>
        <v>0.55102040816326525</v>
      </c>
      <c r="K10" s="462">
        <f>IF(ISNUMBER((((NºAsuntos!C10+NºAsuntos!E10)/NºAsuntos!G10)-Datos!BG10)/Datos!BG10),(((NºAsuntos!C10+NºAsuntos!E10)/NºAsuntos!G10)-Datos!BG10)/Datos!BG10," - ")</f>
        <v>0.57458563535911589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0.25223791525760891</v>
      </c>
      <c r="C13" s="855">
        <f>IF(ISNUMBER(
   IF(J_V="SI",(Datos!J13-Datos!T13)/Datos!T13,(Datos!J13+Datos!Z13-(Datos!T13+Datos!AH13))/(Datos!T13+Datos!AH13))
     ),IF(J_V="SI",(Datos!J13-Datos!T13)/Datos!T13,(Datos!J13+Datos!Z13-(Datos!T13+Datos!AH13))/(Datos!T13+Datos!AH13))," - ")</f>
        <v>1.1113772455089821</v>
      </c>
      <c r="D13" s="855">
        <f>IF(ISNUMBER(
   IF(J_V="SI",(Datos!K13-Datos!U13)/Datos!U13,(Datos!K13+Datos!AA13-(Datos!U13+Datos!AI13))/(Datos!U13+Datos!AI13))
     ),IF(J_V="SI",(Datos!K13-Datos!U13)/Datos!U13,(Datos!K13+Datos!AA13-(Datos!U13+Datos!AI13))/(Datos!U13+Datos!AI13))," - ")</f>
        <v>0.3662251655629139</v>
      </c>
      <c r="E13" s="855">
        <f>IF(ISNUMBER(
   IF(J_V="SI",(Datos!L13-Datos!V13)/Datos!V13,(Datos!L13+Datos!AB13-(Datos!V13+Datos!AJ13))/(Datos!V13+Datos!AJ13))
     ),IF(J_V="SI",(Datos!L13-Datos!V13)/Datos!V13,(Datos!L13+Datos!AB13-(Datos!V13+Datos!AJ13))/(Datos!V13+Datos!AJ13))," - ")</f>
        <v>0.49633629001156959</v>
      </c>
      <c r="F13" s="856">
        <f>IF(ISNUMBER((Datos!M13-Datos!W13)/Datos!W13),(Datos!M13-Datos!W13)/Datos!W13," - ")</f>
        <v>0.5</v>
      </c>
      <c r="G13" s="857">
        <f>IF(ISNUMBER((Datos!N13-Datos!X13)/Datos!X13),(Datos!N13-Datos!X13)/Datos!X13," - ")</f>
        <v>0.53198653198653201</v>
      </c>
      <c r="H13" s="857">
        <f>IF(ISNUMBER(((NºAsuntos!G13/NºAsuntos!E13)-Datos!BD13)/Datos!BD13),((NºAsuntos!G13/NºAsuntos!E13)-Datos!BD13)/Datos!BD13," - ")</f>
        <v>-0.35292228403571579</v>
      </c>
      <c r="I13" s="857">
        <f>IF(ISNUMBER(((NºAsuntos!I13/NºAsuntos!G13)-Datos!BE13)/Datos!BE13),((NºAsuntos!I13/NºAsuntos!G13)-Datos!BE13)/Datos!BE13," - ")</f>
        <v>9.5234027104929786E-2</v>
      </c>
      <c r="J13" s="857">
        <f>IF(ISNUMBER((('Resol  Asuntos'!D13/NºAsuntos!G13)-Datos!BF13)/Datos!BF13),(('Resol  Asuntos'!D13/NºAsuntos!G13)-Datos!BF13)/Datos!BF13," - ")</f>
        <v>-0.28542438607589743</v>
      </c>
      <c r="K13" s="857">
        <f>IF(ISNUMBER((((NºAsuntos!C13+NºAsuntos!E13)/NºAsuntos!G13)-Datos!BG13)/Datos!BG13),(((NºAsuntos!C13+NºAsuntos!E13)/NºAsuntos!G13)-Datos!BG13)/Datos!BG13," - ")</f>
        <v>7.3379091686389772E-2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4.238921001926782E-2</v>
      </c>
      <c r="C15" s="456">
        <f>IF(ISNUMBER(
   IF(D_I="SI",(Datos!J15-Datos!T15)/Datos!T15,(Datos!J15+Datos!AD15-(Datos!T15+Datos!AL15))/(Datos!T15+Datos!AL15))
     ),IF(D_I="SI",(Datos!J15-Datos!T15)/Datos!T15,(Datos!J15+Datos!AD15-(Datos!T15+Datos!AL15))/(Datos!T15+Datos!AL15))," - ")</f>
        <v>9.3649085037674926E-2</v>
      </c>
      <c r="D15" s="456">
        <f>IF(ISNUMBER(
   IF(D_I="SI",(Datos!K15-Datos!U15)/Datos!U15,(Datos!K15+Datos!AE15-(Datos!U15+Datos!AM15))/(Datos!U15+Datos!AM15))
     ),IF(D_I="SI",(Datos!K15-Datos!U15)/Datos!U15,(Datos!K15+Datos!AE15-(Datos!U15+Datos!AM15))/(Datos!U15+Datos!AM15))," - ")</f>
        <v>7.7559462254395035E-3</v>
      </c>
      <c r="E15" s="456">
        <f>IF(ISNUMBER(
   IF(D_I="SI",(Datos!L15-Datos!V15)/Datos!V15,(Datos!L15+Datos!AF15-(Datos!V15+Datos!AN15))/(Datos!V15+Datos!AN15))
     ),IF(D_I="SI",(Datos!L15-Datos!V15)/Datos!V15,(Datos!L15+Datos!AF15-(Datos!V15+Datos!AN15))/(Datos!V15+Datos!AN15))," - ")</f>
        <v>0.13902681231380337</v>
      </c>
      <c r="F15" s="456">
        <f>IF(ISNUMBER((Datos!M15-Datos!W15)/Datos!W15),(Datos!M15-Datos!W15)/Datos!W15," - ")</f>
        <v>6.9306930693069313E-2</v>
      </c>
      <c r="G15" s="457">
        <f>IF(ISNUMBER((Datos!N15-Datos!X15)/Datos!X15),(Datos!N15-Datos!X15)/Datos!X15," - ")</f>
        <v>4.3133802816901406E-2</v>
      </c>
      <c r="H15" s="455">
        <f>IF(ISNUMBER(((NºAsuntos!G15/NºAsuntos!E15)-Datos!BD15)/Datos!BD15),((NºAsuntos!G15/NºAsuntos!E15)-Datos!BD15)/Datos!BD15," - ")</f>
        <v>-7.8538116098983021E-2</v>
      </c>
      <c r="I15" s="456">
        <f>IF(ISNUMBER(((NºAsuntos!I15/NºAsuntos!G15)-Datos!BE15)/Datos!BE15),((NºAsuntos!I15/NºAsuntos!G15)-Datos!BE15)/Datos!BE15," - ")</f>
        <v>0.13026057209589317</v>
      </c>
      <c r="J15" s="461">
        <f>IF(ISNUMBER((('Resol  Asuntos'!D15/NºAsuntos!G15)-Datos!BF15)/Datos!BF15),(('Resol  Asuntos'!D15/NºAsuntos!G15)-Datos!BF15)/Datos!BF15," - ")</f>
        <v>6.1077272427088776E-2</v>
      </c>
      <c r="K15" s="462">
        <f>IF(ISNUMBER((((NºAsuntos!C15+NºAsuntos!E15)/NºAsuntos!G15)-Datos!BG15)/Datos!BG15),(((NºAsuntos!C15+NºAsuntos!E15)/NºAsuntos!G15)-Datos!BG15)/Datos!BG15," - ")</f>
        <v>5.8390065114929959E-2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-9.036144578313253E-2</v>
      </c>
      <c r="C17" s="456">
        <f>IF(ISNUMBER(
   IF(D_I="SI",(Datos!J17-Datos!T17)/Datos!T17,(Datos!J17+Datos!AD17-(Datos!T17+Datos!AL17))/(Datos!T17+Datos!AL17))
     ),IF(D_I="SI",(Datos!J17-Datos!T17)/Datos!T17,(Datos!J17+Datos!AD17-(Datos!T17+Datos!AL17))/(Datos!T17+Datos!AL17))," - ")</f>
        <v>-0.21673003802281368</v>
      </c>
      <c r="D17" s="456">
        <f>IF(ISNUMBER(
   IF(D_I="SI",(Datos!K17-Datos!U17)/Datos!U17,(Datos!K17+Datos!AE17-(Datos!U17+Datos!AM17))/(Datos!U17+Datos!AM17))
     ),IF(D_I="SI",(Datos!K17-Datos!U17)/Datos!U17,(Datos!K17+Datos!AE17-(Datos!U17+Datos!AM17))/(Datos!U17+Datos!AM17))," - ")</f>
        <v>-0.25818181818181818</v>
      </c>
      <c r="E17" s="456">
        <f>IF(ISNUMBER(
   IF(D_I="SI",(Datos!L17-Datos!V17)/Datos!V17,(Datos!L17+Datos!AF17-(Datos!V17+Datos!AN17))/(Datos!V17+Datos!AN17))
     ),IF(D_I="SI",(Datos!L17-Datos!V17)/Datos!V17,(Datos!L17+Datos!AF17-(Datos!V17+Datos!AN17))/(Datos!V17+Datos!AN17))," - ")</f>
        <v>-6.4935064935064939E-3</v>
      </c>
      <c r="F17" s="456">
        <f>IF(ISNUMBER((Datos!M17-Datos!W17)/Datos!W17),(Datos!M17-Datos!W17)/Datos!W17," - ")</f>
        <v>-0.21428571428571427</v>
      </c>
      <c r="G17" s="457">
        <f>IF(ISNUMBER((Datos!N17-Datos!X17)/Datos!X17),(Datos!N17-Datos!X17)/Datos!X17," - ")</f>
        <v>-0.45689655172413796</v>
      </c>
      <c r="H17" s="455">
        <f>IF(ISNUMBER(((NºAsuntos!G17/NºAsuntos!E17)-Datos!BD17)/Datos!BD17),((NºAsuntos!G17/NºAsuntos!E17)-Datos!BD17)/Datos!BD17," - ")</f>
        <v>-5.2921447484554227E-2</v>
      </c>
      <c r="I17" s="456">
        <f>IF(ISNUMBER(((NºAsuntos!I17/NºAsuntos!G17)-Datos!BE17)/Datos!BE17),((NºAsuntos!I17/NºAsuntos!G17)-Datos!BE17)/Datos!BE17," - ")</f>
        <v>0.33928571428571414</v>
      </c>
      <c r="J17" s="461">
        <f>IF(ISNUMBER((('Resol  Asuntos'!D17/NºAsuntos!G17)-Datos!BF17)/Datos!BF17),(('Resol  Asuntos'!D17/NºAsuntos!G17)-Datos!BF17)/Datos!BF17," - ")</f>
        <v>5.9173669467787134E-2</v>
      </c>
      <c r="K17" s="462">
        <f>IF(ISNUMBER((((NºAsuntos!C17+NºAsuntos!E17)/NºAsuntos!G17)-Datos!BG17)/Datos!BG17),(((NºAsuntos!C17+NºAsuntos!E17)/NºAsuntos!G17)-Datos!BG17)/Datos!BG17," - ")</f>
        <v>0.12179487179487175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3.2560214094558428E-2</v>
      </c>
      <c r="C18" s="855">
        <f>IF(ISNUMBER(
   IF(Criterios!B14="SI",(Datos!J18-Datos!T18)/Datos!T18,(Datos!J18+Datos!AD18-(Datos!T18+Datos!AL18))/(Datos!T18+Datos!AL18))
     ),IF(Criterios!B14="SI",(Datos!J18-Datos!T18)/Datos!T18,(Datos!J18+Datos!AD18-(Datos!T18+Datos!AL18))/(Datos!T18+Datos!AL18))," - ")</f>
        <v>5.5162659123055166E-2</v>
      </c>
      <c r="D18" s="855">
        <f>IF(ISNUMBER(
   IF(Criterios!B14="SI",(Datos!K18-Datos!U18)/Datos!U18,(Datos!K18+Datos!AE18-(Datos!U18+Datos!AM18))/(Datos!U18+Datos!AM18))
     ),IF(Criterios!B14="SI",(Datos!K18-Datos!U18)/Datos!U18,(Datos!K18+Datos!AE18-(Datos!U18+Datos!AM18))/(Datos!U18+Datos!AM18))," - ")</f>
        <v>-2.5350837483023993E-2</v>
      </c>
      <c r="E18" s="855">
        <f>IF(ISNUMBER(
   IF(Criterios!B14="SI",(Datos!L18-Datos!V18)/Datos!V18,(Datos!L18+Datos!AF18-(Datos!V18+Datos!AN18))/(Datos!V18+Datos!AN18))
     ),IF(Criterios!B14="SI",(Datos!L18-Datos!V18)/Datos!V18,(Datos!L18+Datos!AF18-(Datos!V18+Datos!AN18))/(Datos!V18+Datos!AN18))," - ")</f>
        <v>0.12869003690036901</v>
      </c>
      <c r="F18" s="856">
        <f>IF(ISNUMBER((Datos!M18-Datos!W18)/Datos!W18),(Datos!M18-Datos!W18)/Datos!W18," - ")</f>
        <v>7.7519379844961239E-3</v>
      </c>
      <c r="G18" s="857">
        <f>IF(ISNUMBER((Datos!N18-Datos!X18)/Datos!X18),(Datos!N18-Datos!X18)/Datos!X18," - ")</f>
        <v>-4.1666666666666664E-2</v>
      </c>
      <c r="H18" s="857">
        <f>IF(ISNUMBER(((NºAsuntos!G18/NºAsuntos!E18)-Datos!BD18)/Datos!BD18),((NºAsuntos!G18/NºAsuntos!E18)-Datos!BD18)/Datos!BD18," - ")</f>
        <v>-7.6304345979219798E-2</v>
      </c>
      <c r="I18" s="857">
        <f>IF(ISNUMBER(((NºAsuntos!I18/NºAsuntos!G18)-Datos!BE18)/Datos!BE18),((NºAsuntos!I18/NºAsuntos!G18)-Datos!BE18)/Datos!BE18," - ")</f>
        <v>0.15804751115323509</v>
      </c>
      <c r="J18" s="857">
        <f>IF(ISNUMBER((('Resol  Asuntos'!D18/NºAsuntos!G18)-Datos!BF18)/Datos!BF18),(('Resol  Asuntos'!D18/NºAsuntos!G18)-Datos!BF18)/Datos!BF18," - ")</f>
        <v>3.3963785883767826E-2</v>
      </c>
      <c r="K18" s="857">
        <f>IF(ISNUMBER((((NºAsuntos!C18+NºAsuntos!E18)/NºAsuntos!G18)-Datos!BG18)/Datos!BG18),(((NºAsuntos!C18+NºAsuntos!E18)/NºAsuntos!G18)-Datos!BG18)/Datos!BG18," - ")</f>
        <v>7.0690929158861285E-2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0.18448204704911267</v>
      </c>
      <c r="C19" s="802">
        <f>IF(ISNUMBER(
   IF(J_V="SI",(Datos!J19-Datos!T19)/Datos!T19,(Datos!J19+Datos!Z19-(Datos!T19+Datos!AH19))/(Datos!T19+Datos!AH19))
     ),IF(J_V="SI",(Datos!J19-Datos!T19)/Datos!T19,(Datos!J19+Datos!Z19-(Datos!T19+Datos!AH19))/(Datos!T19+Datos!AH19))," - ")</f>
        <v>0.52044315484041148</v>
      </c>
      <c r="D19" s="802">
        <f>IF(ISNUMBER(
   IF(J_V="SI",(Datos!K19-Datos!U19)/Datos!U19,(Datos!K19+Datos!AA19-(Datos!U19+Datos!AI19))/(Datos!U19+Datos!AI19))
     ),IF(J_V="SI",(Datos!K19-Datos!U19)/Datos!U19,(Datos!K19+Datos!AA19-(Datos!U19+Datos!AI19))/(Datos!U19+Datos!AI19))," - ")</f>
        <v>0.13363807475127723</v>
      </c>
      <c r="E19" s="802">
        <f>IF(ISNUMBER(
   IF(J_V="SI",(Datos!L19-Datos!V19)/Datos!V19,(Datos!L19+Datos!AB19-(Datos!V19+Datos!AJ19))/(Datos!V19+Datos!AJ19))
     ),IF(J_V="SI",(Datos!L19-Datos!V19)/Datos!V19,(Datos!L19+Datos!AB19-(Datos!V19+Datos!AJ19))/(Datos!V19+Datos!AJ19))," - ")</f>
        <v>0.38795213489257546</v>
      </c>
      <c r="F19" s="803">
        <f>IF(ISNUMBER((Datos!M19-Datos!W19)/Datos!W19),(Datos!M19-Datos!W19)/Datos!W19," - ")</f>
        <v>0.30218068535825543</v>
      </c>
      <c r="G19" s="804">
        <f>IF(ISNUMBER((Datos!N19-Datos!X19)/Datos!X19),(Datos!N19-Datos!X19)/Datos!X19," - ")</f>
        <v>0.13200815494393475</v>
      </c>
      <c r="H19" s="805">
        <f>IF(ISNUMBER((Tasas!B19-Datos!BD19)/Datos!BD19),(Tasas!B19-Datos!BD19)/Datos!BD19," - ")</f>
        <v>-0.25440285541601465</v>
      </c>
      <c r="I19" s="806">
        <f>IF(ISNUMBER((Tasas!C19-Datos!BE19)/Datos!BE19),(Tasas!C19-Datos!BE19)/Datos!BE19," - ")</f>
        <v>0.22433443777644399</v>
      </c>
      <c r="J19" s="807">
        <f>IF(ISNUMBER((Tasas!D19-Datos!BF19)/Datos!BF19),(Tasas!D19-Datos!BF19)/Datos!BF19," - ")</f>
        <v>-0.13036702051484009</v>
      </c>
      <c r="K19" s="807">
        <f>IF(ISNUMBER((Tasas!E19-Datos!BG19)/Datos!BG19),(Tasas!E19-Datos!BG19)/Datos!BG19," - ")</f>
        <v>0.14643144517913317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wgQv1MEV1f1GGVvi2ybT/B916+gpX8feyMs3BgJ5Q0bGnEa2LEGqzpHKZsTla4Kd010O8G/2DNMLCodAkKJvw==" saltValue="4AYZn/JqeBT6YCgYTVCm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MANACOR</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0.58643388666285057</v>
      </c>
      <c r="C9" s="443">
        <f>IF(ISNUMBER(NºAsuntos!I9/NºAsuntos!G9),NºAsuntos!I9/NºAsuntos!G9," - ")</f>
        <v>3.6915568570034165</v>
      </c>
      <c r="D9" s="444">
        <f>IF(ISNUMBER('Resol  Asuntos'!D9/NºAsuntos!G9),'Resol  Asuntos'!D9/NºAsuntos!G9," - ")</f>
        <v>0.27720839433870181</v>
      </c>
      <c r="E9" s="445">
        <f>IF(ISNUMBER((NºAsuntos!C9+NºAsuntos!E9)/NºAsuntos!G9),(NºAsuntos!C9+NºAsuntos!E9)/NºAsuntos!G9," - ")</f>
        <v>4.6905807711078573</v>
      </c>
      <c r="G9" s="463"/>
    </row>
    <row r="10" spans="1:7">
      <c r="A10" s="402" t="str">
        <f>Datos!A10</f>
        <v>Jdos. Violencia contra la mujer</v>
      </c>
      <c r="B10" s="442">
        <f>IF(ISNUMBER(NºAsuntos!G10/NºAsuntos!E10),NºAsuntos!G10/NºAsuntos!E10," - ")</f>
        <v>0.4375</v>
      </c>
      <c r="C10" s="443">
        <f>IF(ISNUMBER(NºAsuntos!I10/NºAsuntos!G10),NºAsuntos!I10/NºAsuntos!G10," - ")</f>
        <v>14</v>
      </c>
      <c r="D10" s="444">
        <f>IF(ISNUMBER('Resol  Asuntos'!D10/NºAsuntos!G10),'Resol  Asuntos'!D10/NºAsuntos!G10," - ")</f>
        <v>0.5714285714285714</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0.58508224617129889</v>
      </c>
      <c r="C13" s="859">
        <f>IF(ISNUMBER(NºAsuntos!I13/NºAsuntos!G13),NºAsuntos!I13/NºAsuntos!G13," - ")</f>
        <v>3.7615123606398448</v>
      </c>
      <c r="D13" s="860">
        <f>IF(ISNUMBER('Resol  Asuntos'!D13/NºAsuntos!G13),'Resol  Asuntos'!D13/NºAsuntos!G13," - ")</f>
        <v>0.2792050412021328</v>
      </c>
      <c r="E13" s="861">
        <f>IF(ISNUMBER((NºAsuntos!C13+NºAsuntos!E13)/NºAsuntos!G13),(NºAsuntos!C13+NºAsuntos!E13)/NºAsuntos!G13," - ")</f>
        <v>4.7605428986912264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0.95915354330708658</v>
      </c>
      <c r="C15" s="443">
        <f>IF(ISNUMBER(NºAsuntos!I15/NºAsuntos!G15),NºAsuntos!I15/NºAsuntos!G15," - ")</f>
        <v>1.1770138532580812</v>
      </c>
      <c r="D15" s="444">
        <f>IF(ISNUMBER('Resol  Asuntos'!D15/NºAsuntos!G15),'Resol  Asuntos'!D15/NºAsuntos!G15," - ")</f>
        <v>0.11082606464853771</v>
      </c>
      <c r="E15" s="445">
        <f>IF(ISNUMBER((NºAsuntos!C15+NºAsuntos!E15)/NºAsuntos!G15),(NºAsuntos!C15+NºAsuntos!E15)/NºAsuntos!G15," - ")</f>
        <v>2.1528989225243715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0.99029126213592233</v>
      </c>
      <c r="C17" s="443">
        <f>IF(ISNUMBER(NºAsuntos!I17/NºAsuntos!G17),NºAsuntos!I17/NºAsuntos!G17," - ")</f>
        <v>0.75</v>
      </c>
      <c r="D17" s="444">
        <f>IF(ISNUMBER('Resol  Asuntos'!D17/NºAsuntos!G17),'Resol  Asuntos'!D17/NºAsuntos!G17," - ")</f>
        <v>0.21568627450980393</v>
      </c>
      <c r="E17" s="445">
        <f>IF(ISNUMBER((NºAsuntos!C17+NºAsuntos!E17)/NºAsuntos!G17),(NºAsuntos!C17+NºAsuntos!E17)/NºAsuntos!G17," - ")</f>
        <v>1.75</v>
      </c>
      <c r="G17" s="463"/>
    </row>
    <row r="18" spans="1:7" ht="14.25" thickTop="1" thickBot="1">
      <c r="A18" s="848" t="str">
        <f>Datos!A18</f>
        <v>TOTAL</v>
      </c>
      <c r="B18" s="858">
        <f>IF(ISNUMBER(NºAsuntos!G18/NºAsuntos!E18),NºAsuntos!G18/NºAsuntos!E18," - ")</f>
        <v>0.96201966041108133</v>
      </c>
      <c r="C18" s="859">
        <f>IF(ISNUMBER(NºAsuntos!I18/NºAsuntos!G18),NºAsuntos!I18/NºAsuntos!G18," - ")</f>
        <v>1.1365536460752439</v>
      </c>
      <c r="D18" s="862">
        <f>IF(ISNUMBER('Resol  Asuntos'!D18/NºAsuntos!G18),'Resol  Asuntos'!D18/NºAsuntos!G18," - ")</f>
        <v>0.12076172782164422</v>
      </c>
      <c r="E18" s="861">
        <f>IF(ISNUMBER((NºAsuntos!C18+NºAsuntos!E18)/NºAsuntos!G18),(NºAsuntos!C18+NºAsuntos!E18)/NºAsuntos!G18," - ")</f>
        <v>2.1147236414305621</v>
      </c>
      <c r="G18" s="463"/>
    </row>
    <row r="19" spans="1:7" ht="15.75" customHeight="1" thickTop="1" thickBot="1">
      <c r="A19" s="793" t="str">
        <f>Datos!A19</f>
        <v>TOTAL JURISDICCIONES</v>
      </c>
      <c r="B19" s="808">
        <f>IF(ISNUMBER(NºAsuntos!G19/NºAsuntos!E19),NºAsuntos!G19/NºAsuntos!E19," - ")</f>
        <v>0.73143650242886882</v>
      </c>
      <c r="C19" s="809">
        <f>IF(ISNUMBER(NºAsuntos!I19/NºAsuntos!G19),NºAsuntos!I19/NºAsuntos!G19," - ")</f>
        <v>2.4210151802656545</v>
      </c>
      <c r="D19" s="810">
        <f>IF(ISNUMBER('Resol  Asuntos'!D19/NºAsuntos!G19),'Resol  Asuntos'!D19/NºAsuntos!G19," - ")</f>
        <v>0.198292220113852</v>
      </c>
      <c r="E19" s="811">
        <f>IF(ISNUMBER((NºAsuntos!C19+NºAsuntos!E19)/NºAsuntos!G19),(NºAsuntos!C19+NºAsuntos!E19)/NºAsuntos!G19," - ")</f>
        <v>3.4093927893738138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Zcbr6RUcgMKkbqdZ4gea9y9at8qazMnT9vEANRYNKVRjfedFkOzTGf1Hx8KjHHeybyuuwqp39TdAz8hLxNwig==" saltValue="1aGA7JhNTx0rn39WK1+fQ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MANACOR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906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297</v>
      </c>
      <c r="Y9" s="334">
        <f>SUM(W9:X9)</f>
        <v>297</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7016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568</v>
      </c>
      <c r="AJ9" s="229" t="str">
        <f>IF(ISNUMBER(Datos!BW9),Datos!BW9," - ")</f>
        <v xml:space="preserve"> - </v>
      </c>
      <c r="AK9" s="228" t="str">
        <f>IF(ISNUMBER(Datos!BX9),Datos!BX9," - ")</f>
        <v xml:space="preserve"> - </v>
      </c>
      <c r="AL9" s="243">
        <f>IF(ISNUMBER(NºAsuntos!G9/NºAsuntos!E9),NºAsuntos!G9/NºAsuntos!E9," - ")</f>
        <v>0.58643388666285057</v>
      </c>
      <c r="AM9" s="260">
        <f>IF(ISNUMBER(((NºAsuntos!I9/NºAsuntos!G9)*11)/factor_trimestre),((NºAsuntos!I9/NºAsuntos!G9)*11)/factor_trimestre," - ")</f>
        <v>11.07467057101025</v>
      </c>
      <c r="AN9" s="244">
        <f>IF(ISNUMBER('Resol  Asuntos'!D9/NºAsuntos!G9),'Resol  Asuntos'!D9/NºAsuntos!G9," - ")</f>
        <v>0.27720839433870181</v>
      </c>
      <c r="AO9" s="245">
        <f>IF(ISNUMBER((NºAsuntos!C9+NºAsuntos!E9)/NºAsuntos!G9),(NºAsuntos!C9+NºAsuntos!E9)/NºAsuntos!G9," - ")</f>
        <v>4.6905807711078573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178</v>
      </c>
      <c r="G10" s="333">
        <f>IF(ISNUMBER(Datos!I10),Datos!I10," - ")</f>
        <v>178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v>
      </c>
      <c r="X10" s="226">
        <f>IF(ISNUMBER(Datos!Q10),Datos!Q10," - ")</f>
        <v>0</v>
      </c>
      <c r="Y10" s="334">
        <f t="shared" ref="Y10:Y12" si="0">SUM(W10:X10)</f>
        <v>14</v>
      </c>
      <c r="Z10" s="335" t="str">
        <f>IF(ISNUMBER(Datos!CC10),Datos!CC10," - ")</f>
        <v xml:space="preserve"> - </v>
      </c>
      <c r="AA10" s="332">
        <f>IF(ISNUMBER(Datos!L10),Datos!L10,"-")</f>
        <v>196</v>
      </c>
      <c r="AB10" s="334">
        <f>IF(ISNUMBER(Datos!R10),Datos!R10," - ")</f>
        <v>73</v>
      </c>
      <c r="AC10" s="334">
        <f t="shared" ref="AC10:AC12" si="1">IF(ISNUMBER(AA10+AB10),AA10+AB10," - ")</f>
        <v>269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0.4375</v>
      </c>
      <c r="AM10" s="260">
        <f>IF(ISNUMBER(((NºAsuntos!I10/NºAsuntos!G10)*11)/factor_trimestre),((NºAsuntos!I10/NºAsuntos!G10)*11)/factor_trimestre," - ")</f>
        <v>42</v>
      </c>
      <c r="AN10" s="244">
        <f>IF(ISNUMBER('Resol  Asuntos'!D10/NºAsuntos!G10),'Resol  Asuntos'!D10/NºAsuntos!G10," - ")</f>
        <v>0.5714285714285714</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178</v>
      </c>
      <c r="G13" s="866">
        <f t="shared" si="3"/>
        <v>178</v>
      </c>
      <c r="H13" s="865">
        <f t="shared" si="3"/>
        <v>0</v>
      </c>
      <c r="I13" s="867">
        <f t="shared" si="3"/>
        <v>0</v>
      </c>
      <c r="J13" s="867">
        <f t="shared" si="3"/>
        <v>0</v>
      </c>
      <c r="K13" s="867">
        <f t="shared" si="3"/>
        <v>0</v>
      </c>
      <c r="L13" s="867">
        <f t="shared" si="3"/>
        <v>907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v>
      </c>
      <c r="X13" s="867">
        <f t="shared" si="4"/>
        <v>297</v>
      </c>
      <c r="Y13" s="868">
        <f t="shared" si="4"/>
        <v>311</v>
      </c>
      <c r="Z13" s="868">
        <f t="shared" si="4"/>
        <v>0</v>
      </c>
      <c r="AA13" s="868">
        <f t="shared" si="4"/>
        <v>196</v>
      </c>
      <c r="AB13" s="868">
        <f t="shared" si="4"/>
        <v>7089</v>
      </c>
      <c r="AC13" s="868">
        <f t="shared" si="4"/>
        <v>269</v>
      </c>
      <c r="AD13" s="868">
        <f t="shared" si="4"/>
        <v>0</v>
      </c>
      <c r="AE13" s="872">
        <f t="shared" si="4"/>
        <v>0</v>
      </c>
      <c r="AF13" s="865">
        <f t="shared" si="4"/>
        <v>0</v>
      </c>
      <c r="AG13" s="873">
        <f t="shared" si="4"/>
        <v>0</v>
      </c>
      <c r="AH13" s="870">
        <f t="shared" si="4"/>
        <v>0</v>
      </c>
      <c r="AI13" s="865">
        <f t="shared" si="4"/>
        <v>576</v>
      </c>
      <c r="AJ13" s="867">
        <f t="shared" si="4"/>
        <v>0</v>
      </c>
      <c r="AK13" s="870">
        <f>SUBTOTAL(9,AK9:AK12)</f>
        <v>0</v>
      </c>
      <c r="AL13" s="874">
        <f>IF(ISNUMBER(NºAsuntos!G13/NºAsuntos!E13),NºAsuntos!G13/NºAsuntos!E13," - ")</f>
        <v>0.58508224617129889</v>
      </c>
      <c r="AM13" s="874">
        <f>IF(ISNUMBER(((NºAsuntos!I13/NºAsuntos!G13)*11)/factor_trimestre),((NºAsuntos!I13/NºAsuntos!G13)*11)/factor_trimestre," - ")</f>
        <v>11.284537081919536</v>
      </c>
      <c r="AN13" s="875">
        <f>IF(ISNUMBER('Resol  Asuntos'!D13/NºAsuntos!G13),'Resol  Asuntos'!D13/NºAsuntos!G13," - ")</f>
        <v>0.2792050412021328</v>
      </c>
      <c r="AO13" s="876">
        <f>IF(ISNUMBER((NºAsuntos!C13+NºAsuntos!E13)/NºAsuntos!G13),(NºAsuntos!C13+NºAsuntos!E13)/NºAsuntos!G13," - ")</f>
        <v>4.7605428986912264</v>
      </c>
      <c r="AP13" s="877" t="str">
        <f t="shared" si="2"/>
        <v xml:space="preserve"> - </v>
      </c>
      <c r="AQ13" s="877">
        <f>IF(ISNUMBER((H13-W13+K13)/(F13)),(H13-W13+K13)/(F13)," - ")</f>
        <v>-7.8651685393258425E-2</v>
      </c>
      <c r="AR13" s="878">
        <f>IF(ISNUMBER((Datos!P13-Datos!Q13)/(Datos!R13-Datos!P13+Datos!Q13)),(Datos!P13-Datos!Q13)/(Datos!R13-Datos!P13+Datos!Q13)," - ")</f>
        <v>9.4150331841333534E-2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2211</v>
      </c>
      <c r="G15" s="333">
        <f>IF(ISNUMBER(IF(D_I="SI",Datos!I15,Datos!I15+Datos!AC15)),IF(D_I="SI",Datos!I15,Datos!I15+Datos!AC15)," - ")</f>
        <v>2164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1949</v>
      </c>
      <c r="X15" s="226">
        <f>IF(ISNUMBER(Datos!Q15),Datos!Q15," - ")</f>
        <v>23</v>
      </c>
      <c r="Y15" s="334">
        <f>SUM(W15)</f>
        <v>1949</v>
      </c>
      <c r="Z15" s="335" t="str">
        <f>IF(ISNUMBER(Datos!CC15),Datos!CC15," - ")</f>
        <v xml:space="preserve"> - </v>
      </c>
      <c r="AA15" s="332">
        <f>IF(ISNUMBER(IF(D_I="SI",Datos!L15,Datos!L15+Datos!AF15)),IF(D_I="SI",Datos!L15,Datos!L15+Datos!AF15)," - ")</f>
        <v>2294</v>
      </c>
      <c r="AB15" s="334">
        <f>IF(ISNUMBER(Datos!R15),Datos!R15," - ")</f>
        <v>129</v>
      </c>
      <c r="AC15" s="334">
        <f t="shared" ref="AC15:AC17" si="6">IF(ISNUMBER(AA15+AB15),AA15+AB15," - ")</f>
        <v>2423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216</v>
      </c>
      <c r="AJ15" s="231" t="str">
        <f>IF(ISNUMBER(Datos!BW15),Datos!BW15," - ")</f>
        <v xml:space="preserve"> - </v>
      </c>
      <c r="AK15" s="232" t="str">
        <f>IF(ISNUMBER(Datos!BX15),Datos!BX15," - ")</f>
        <v xml:space="preserve"> - </v>
      </c>
      <c r="AL15" s="243">
        <f>IF(ISNUMBER(NºAsuntos!G15/NºAsuntos!E15),NºAsuntos!G15/NºAsuntos!E15," - ")</f>
        <v>0.95915354330708658</v>
      </c>
      <c r="AM15" s="260">
        <f>IF(ISNUMBER(((NºAsuntos!I15/NºAsuntos!G15)*11)/factor_trimestre),((NºAsuntos!I15/NºAsuntos!G15)*11)/factor_trimestre," - ")</f>
        <v>3.5310415597742435</v>
      </c>
      <c r="AN15" s="244">
        <f>IF(ISNUMBER('Resol  Asuntos'!D15/NºAsuntos!G15),'Resol  Asuntos'!D15/NºAsuntos!G15," - ")</f>
        <v>0.11082606464853771</v>
      </c>
      <c r="AO15" s="245">
        <f>IF(ISNUMBER((NºAsuntos!C15+NºAsuntos!E15)/NºAsuntos!G15),(NºAsuntos!C15+NºAsuntos!E15)/NºAsuntos!G15," - ")</f>
        <v>2.1528989225243715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204</v>
      </c>
      <c r="X17" s="226">
        <f>IF(ISNUMBER(Datos!Q17),Datos!Q17," - ")</f>
        <v>3</v>
      </c>
      <c r="Y17" s="334">
        <f t="shared" si="7"/>
        <v>207</v>
      </c>
      <c r="Z17" s="335" t="str">
        <f>IF(ISNUMBER(Datos!CC17),Datos!CC17," - ")</f>
        <v xml:space="preserve"> - </v>
      </c>
      <c r="AA17" s="332">
        <f>IF(ISNUMBER(Datos!L17),Datos!L17,"-")</f>
        <v>153</v>
      </c>
      <c r="AB17" s="334">
        <f>IF(ISNUMBER(Datos!R17),Datos!R17," - ")</f>
        <v>12</v>
      </c>
      <c r="AC17" s="334">
        <f t="shared" si="6"/>
        <v>165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44</v>
      </c>
      <c r="AJ17" s="231" t="str">
        <f>IF(ISNUMBER(Datos!BW17),Datos!BW17," - ")</f>
        <v xml:space="preserve"> - </v>
      </c>
      <c r="AK17" s="232" t="str">
        <f>IF(ISNUMBER(Datos!BX17),Datos!BX17," - ")</f>
        <v xml:space="preserve"> - </v>
      </c>
      <c r="AL17" s="243">
        <f>IF(ISNUMBER(NºAsuntos!G17/NºAsuntos!E17),NºAsuntos!G17/NºAsuntos!E17," - ")</f>
        <v>0.99029126213592233</v>
      </c>
      <c r="AM17" s="260">
        <f>IF(ISNUMBER(((NºAsuntos!I17/NºAsuntos!G17)*11)/factor_trimestre),((NºAsuntos!I17/NºAsuntos!G17)*11)/factor_trimestre," - ")</f>
        <v>2.25</v>
      </c>
      <c r="AN17" s="244">
        <f>IF(ISNUMBER('Resol  Asuntos'!D17/NºAsuntos!G17),'Resol  Asuntos'!D17/NºAsuntos!G17," - ")</f>
        <v>0.21568627450980393</v>
      </c>
      <c r="AO17" s="245">
        <f>IF(ISNUMBER((NºAsuntos!C17+NºAsuntos!E17)/NºAsuntos!G17),(NºAsuntos!C17+NºAsuntos!E17)/NºAsuntos!G17," - ")</f>
        <v>1.75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2211</v>
      </c>
      <c r="G18" s="866">
        <f>SUBTOTAL(9,G15:G17)</f>
        <v>2315</v>
      </c>
      <c r="H18" s="865">
        <f t="shared" ref="H18:O18" si="10">SUBTOTAL(9,H14:H17)</f>
        <v>0</v>
      </c>
      <c r="I18" s="867">
        <f t="shared" si="10"/>
        <v>0</v>
      </c>
      <c r="J18" s="867">
        <f t="shared" si="10"/>
        <v>0</v>
      </c>
      <c r="K18" s="867">
        <f t="shared" si="10"/>
        <v>0</v>
      </c>
      <c r="L18" s="867">
        <f t="shared" si="10"/>
        <v>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2153</v>
      </c>
      <c r="X18" s="867">
        <f t="shared" si="11"/>
        <v>26</v>
      </c>
      <c r="Y18" s="868">
        <f t="shared" si="11"/>
        <v>2156</v>
      </c>
      <c r="Z18" s="868">
        <f t="shared" si="11"/>
        <v>0</v>
      </c>
      <c r="AA18" s="868">
        <f t="shared" si="11"/>
        <v>2447</v>
      </c>
      <c r="AB18" s="868">
        <f t="shared" si="11"/>
        <v>141</v>
      </c>
      <c r="AC18" s="868">
        <f t="shared" si="11"/>
        <v>2588</v>
      </c>
      <c r="AD18" s="868">
        <f t="shared" si="11"/>
        <v>0</v>
      </c>
      <c r="AE18" s="872">
        <f t="shared" si="11"/>
        <v>0</v>
      </c>
      <c r="AF18" s="865">
        <f t="shared" si="11"/>
        <v>0</v>
      </c>
      <c r="AG18" s="873">
        <f t="shared" si="11"/>
        <v>0</v>
      </c>
      <c r="AH18" s="870">
        <f t="shared" si="11"/>
        <v>0</v>
      </c>
      <c r="AI18" s="865">
        <f t="shared" si="11"/>
        <v>260</v>
      </c>
      <c r="AJ18" s="867">
        <f t="shared" si="11"/>
        <v>0</v>
      </c>
      <c r="AK18" s="870">
        <f t="shared" si="11"/>
        <v>0</v>
      </c>
      <c r="AL18" s="874">
        <f>IF(ISNUMBER(NºAsuntos!G18/NºAsuntos!E18),NºAsuntos!G18/NºAsuntos!E18," - ")</f>
        <v>0.96201966041108133</v>
      </c>
      <c r="AM18" s="874">
        <f>IF(ISNUMBER(((NºAsuntos!I18/NºAsuntos!G18)*11)/factor_trimestre),((NºAsuntos!I18/NºAsuntos!G18)*11)/factor_trimestre," - ")</f>
        <v>3.4096609382257319</v>
      </c>
      <c r="AN18" s="875">
        <f>IF(ISNUMBER('Resol  Asuntos'!D18/NºAsuntos!G18),'Resol  Asuntos'!D18/NºAsuntos!G18," - ")</f>
        <v>0.12076172782164422</v>
      </c>
      <c r="AO18" s="876">
        <f>IF(ISNUMBER((NºAsuntos!C18+NºAsuntos!E18)/NºAsuntos!G18),(NºAsuntos!C18+NºAsuntos!E18)/NºAsuntos!G18," - ")</f>
        <v>2.1147236414305621</v>
      </c>
      <c r="AP18" s="877" t="str">
        <f t="shared" si="2"/>
        <v xml:space="preserve"> - </v>
      </c>
      <c r="AQ18" s="877">
        <f>IF(ISNUMBER((H18-W18+K18)/(F18)),(H18-W18+K18)/(F18)," - ")</f>
        <v>-0.97376752600633198</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2389</v>
      </c>
      <c r="G19" s="821">
        <f t="shared" si="13"/>
        <v>2493</v>
      </c>
      <c r="H19" s="820">
        <f t="shared" si="13"/>
        <v>0</v>
      </c>
      <c r="I19" s="822">
        <f t="shared" si="13"/>
        <v>0</v>
      </c>
      <c r="J19" s="822">
        <f t="shared" si="13"/>
        <v>0</v>
      </c>
      <c r="K19" s="881">
        <f t="shared" si="13"/>
        <v>0</v>
      </c>
      <c r="L19" s="822">
        <f t="shared" si="13"/>
        <v>933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2167</v>
      </c>
      <c r="X19" s="821">
        <f t="shared" si="14"/>
        <v>323</v>
      </c>
      <c r="Y19" s="828">
        <f t="shared" si="14"/>
        <v>2467</v>
      </c>
      <c r="Z19" s="828">
        <f t="shared" si="14"/>
        <v>0</v>
      </c>
      <c r="AA19" s="828">
        <f t="shared" si="14"/>
        <v>2643</v>
      </c>
      <c r="AB19" s="828">
        <f t="shared" si="14"/>
        <v>7230</v>
      </c>
      <c r="AC19" s="828">
        <f t="shared" si="14"/>
        <v>2857</v>
      </c>
      <c r="AD19" s="828">
        <f t="shared" si="14"/>
        <v>0</v>
      </c>
      <c r="AE19" s="830">
        <f t="shared" si="14"/>
        <v>0</v>
      </c>
      <c r="AF19" s="831">
        <f t="shared" si="14"/>
        <v>0</v>
      </c>
      <c r="AG19" s="832">
        <f t="shared" si="14"/>
        <v>0</v>
      </c>
      <c r="AH19" s="830">
        <f t="shared" si="14"/>
        <v>0</v>
      </c>
      <c r="AI19" s="820">
        <f t="shared" si="14"/>
        <v>836</v>
      </c>
      <c r="AJ19" s="820">
        <f t="shared" si="14"/>
        <v>0</v>
      </c>
      <c r="AK19" s="830">
        <f t="shared" si="14"/>
        <v>0</v>
      </c>
      <c r="AL19" s="884">
        <f>IF(ISNUMBER(NºAsuntos!G19/NºAsuntos!E19),NºAsuntos!G19/NºAsuntos!E19," - ")</f>
        <v>0.73143650242886882</v>
      </c>
      <c r="AM19" s="885">
        <f>IF(ISNUMBER(((NºAsuntos!I19/NºAsuntos!G19)*11)/factor_trimestre),((NºAsuntos!I19/NºAsuntos!G19)*11)/factor_trimestre," - ")</f>
        <v>7.2630455407969636</v>
      </c>
      <c r="AN19" s="885">
        <f>IF(ISNUMBER('Resol  Asuntos'!D19/NºAsuntos!G19),'Resol  Asuntos'!D19/NºAsuntos!G19," - ")</f>
        <v>0.198292220113852</v>
      </c>
      <c r="AO19" s="886">
        <f>IF(ISNUMBER((NºAsuntos!C19+NºAsuntos!E19)/NºAsuntos!G19),(NºAsuntos!C19+NºAsuntos!E19)/NºAsuntos!G19," - ")</f>
        <v>3.4093927893738138</v>
      </c>
      <c r="AP19" s="887" t="str">
        <f t="shared" si="2"/>
        <v xml:space="preserve"> - </v>
      </c>
      <c r="AQ19" s="888">
        <f>IF(OR(ISNUMBER(FIND("01",Criterios!A8,1)),ISNUMBER(FIND("02",Criterios!A8,1)),ISNUMBER(FIND("03",Criterios!A8,1)),ISNUMBER(FIND("04",Criterios!A8,1))),(I19-W19+K19)/(F19-K19),(H19-W19+K19)/(F19-K19))</f>
        <v>-0.90707408957722901</v>
      </c>
      <c r="AR19" s="889">
        <f>IF(ISNUMBER((Datos!P19-Datos!Q19)/(Datos!R19-Datos!P19+Datos!Q19)),(Datos!P19-Datos!Q19)/(Datos!R19-Datos!P19+Datos!Q19)," - ")</f>
        <v>9.2145015105740177E-2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997.2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2.2236106773543889</v>
      </c>
      <c r="F21" s="252">
        <f>IF(ISNUMBER(STDEV(F8:F18)),STDEV(F8:F18),"-")</f>
        <v>1173.7530972625091</v>
      </c>
      <c r="G21" s="253">
        <f>IF(ISNUMBER(STDEV(G8:G18)),STDEV(G8:G18),"-")</f>
        <v>1135.3689708636571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1086.1982784004033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246.87054637333037</v>
      </c>
      <c r="AJ21" s="252">
        <f t="shared" si="18"/>
        <v>0</v>
      </c>
      <c r="AK21" s="254">
        <f t="shared" si="18"/>
        <v>0</v>
      </c>
      <c r="AL21" s="249">
        <f t="shared" si="18"/>
        <v>0.24412108124615872</v>
      </c>
      <c r="AM21" s="250">
        <f t="shared" si="18"/>
        <v>15.109913525575362</v>
      </c>
      <c r="AN21" s="250">
        <f t="shared" si="18"/>
        <v>0.16805862109653011</v>
      </c>
      <c r="AO21" s="251">
        <f t="shared" si="18"/>
        <v>5.0420187161092853</v>
      </c>
      <c r="AP21" s="291" t="str">
        <f t="shared" si="18"/>
        <v>-</v>
      </c>
      <c r="AQ21" s="292">
        <f t="shared" si="18"/>
        <v>0.63294248084500115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mbCqj8uxPhmqbGbmA4lMERxejpxmpE982skjONmYVE9AROOFhN/X1it1p6dcMmCyFUShh4yL8Cv1LKBNstnSpA==" saltValue="XelDDuzrZA3dOKx4CWL63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MANACOR</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0.50663129973474796</v>
      </c>
      <c r="I9" s="350">
        <f>IF(ISNUMBER((Tasas!C9-Datos!BE9)/Datos!BE9),(Tasas!C9-Datos!BE9)/Datos!BE9," - ")</f>
        <v>9.5563549719763885E-2</v>
      </c>
      <c r="J9" s="349">
        <f>IF(ISNUMBER((Tasas!D9-Datos!BF9)/Datos!BF9),(Tasas!D9-Datos!BF9)/Datos!BF9," - ")</f>
        <v>-0.29105022991594443</v>
      </c>
      <c r="K9" s="351">
        <f>IF(ISNUMBER((Tasas!E9-Datos!BG9)/Datos!BG9),(Tasas!E9-Datos!BG9)/Datos!BG9," - ")</f>
        <v>7.3305084364919532E-2</v>
      </c>
      <c r="M9" t="e">
        <f>IF(Monitorios="SI",Datos!CE9,0)</f>
        <v>#REF!</v>
      </c>
      <c r="N9" t="e">
        <f>IF(Monitorios="SI",Datos!CF9,0)</f>
        <v>#REF!</v>
      </c>
      <c r="O9" t="e">
        <f>IF(Monitorios="SI",Datos!CG9,0)</f>
        <v>#REF!</v>
      </c>
      <c r="P9" t="e">
        <f>IF(Monitorios="SI",Datos!CH9,0)</f>
        <v>#REF!</v>
      </c>
      <c r="Q9">
        <f>IF(J_V="SI",0,Datos!AG9)</f>
        <v>135</v>
      </c>
      <c r="R9">
        <f>IF(J_V="SI",0,Datos!AH9)</f>
        <v>100</v>
      </c>
      <c r="S9">
        <f>IF(J_V="SI",0,Datos!AI9)</f>
        <v>69</v>
      </c>
      <c r="T9">
        <f>IF(J_V="SI",0,Datos!AJ9)</f>
        <v>166</v>
      </c>
    </row>
    <row r="10" spans="2:20" ht="14.25">
      <c r="B10" s="275" t="s">
        <v>246</v>
      </c>
      <c r="C10" s="7" t="str">
        <f>Datos!A10</f>
        <v>Jdos. Violencia contra la mujer</v>
      </c>
      <c r="D10" s="352">
        <f>IF(ISNUMBER((Datos!I10-Datos!S10)/Datos!S10),(Datos!I10-Datos!S10)/Datos!S10," - ")</f>
        <v>6.5868263473053898E-2</v>
      </c>
      <c r="E10" s="348">
        <f>IF(ISNUMBER((Datos!J10-Datos!T10)/Datos!T10),(Datos!J10-Datos!T10)/Datos!T10," - ")</f>
        <v>1.2857142857142858</v>
      </c>
      <c r="F10" s="348">
        <f>IF(ISNUMBER((Datos!K10-Datos!U10)/Datos!U10),(Datos!K10-Datos!U10)/Datos!U10," - ")</f>
        <v>-0.26315789473684209</v>
      </c>
      <c r="G10" s="349">
        <f>IF(ISNUMBER((Datos!L10-Datos!V10)/Datos!V10),(Datos!L10-Datos!V10)/Datos!V10," - ")</f>
        <v>0.20987654320987653</v>
      </c>
      <c r="H10" s="230">
        <f>IF(ISNUMBER((Datos!M10-Datos!W10)/Datos!W10),(Datos!M10-Datos!W10)/Datos!W10," - ")</f>
        <v>0.14285714285714285</v>
      </c>
      <c r="I10" s="350">
        <f>IF(ISNUMBER((Tasas!C10-Datos!BE10)/Datos!BE10),(Tasas!C10-Datos!BE10)/Datos!BE10," - ")</f>
        <v>0.64197530864197516</v>
      </c>
      <c r="J10" s="349">
        <f>IF(ISNUMBER((Tasas!D10-Datos!BF10)/Datos!BF10),(Tasas!D10-Datos!BF10)/Datos!BF10," - ")</f>
        <v>0.55102040816326525</v>
      </c>
      <c r="K10" s="351">
        <f>IF(ISNUMBER((Tasas!E10-Datos!BG10)/Datos!BG10),(Tasas!E10-Datos!BG10)/Datos!BG10," - ")</f>
        <v>0.57458563535911589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v>
      </c>
      <c r="I13" s="357">
        <f>IF(ISNUMBER((Tasas!C13-Datos!BE13)/Datos!BE13),(Tasas!C13-Datos!BE13)/Datos!BE13," - ")</f>
        <v>9.5234027104929786E-2</v>
      </c>
      <c r="J13" s="355">
        <f>IF(ISNUMBER((Tasas!D13-Datos!BF13)/Datos!BF13),(Tasas!D13-Datos!BF13)/Datos!BF13," - ")</f>
        <v>-0.28542438607589743</v>
      </c>
      <c r="K13" s="358">
        <f>IF(ISNUMBER((Tasas!E13-Datos!BG13)/Datos!BG13),(Tasas!E13-Datos!BG13)/Datos!BG13," - ")</f>
        <v>7.3379091686389772E-2</v>
      </c>
      <c r="M13" t="e">
        <f>IF(Monitorios="SI",Datos!CE13,0)</f>
        <v>#REF!</v>
      </c>
      <c r="N13" t="e">
        <f>IF(Monitorios="SI",Datos!CF13,0)</f>
        <v>#REF!</v>
      </c>
      <c r="O13" t="e">
        <f>IF(Monitorios="SI",Datos!CG13,0)</f>
        <v>#REF!</v>
      </c>
      <c r="P13" t="e">
        <f>IF(Monitorios="SI",Datos!CH13,0)</f>
        <v>#REF!</v>
      </c>
      <c r="Q13">
        <f>IF(J_V="SI",0,Datos!AG13)</f>
        <v>135</v>
      </c>
      <c r="R13">
        <f>IF(J_V="SI",0,Datos!AH13)</f>
        <v>100</v>
      </c>
      <c r="S13">
        <f>IF(J_V="SI",0,Datos!AI13)</f>
        <v>69</v>
      </c>
      <c r="T13">
        <f>IF(J_V="SI",0,Datos!AJ13)</f>
        <v>166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4.238921001926782E-2</v>
      </c>
      <c r="E15" s="348">
        <f>IF(ISNUMBER(
   IF(D_I="SI",(Datos!J15-Datos!T15)/Datos!T15,(Datos!J15+Datos!AD15-(Datos!T15+Datos!AL15))/(Datos!T15+Datos!AL15))
     ),IF(D_I="SI",(Datos!J15-Datos!T15)/Datos!T15,(Datos!J15+Datos!AD15-(Datos!T15+Datos!AL15))/(Datos!T15+Datos!AL15))," - ")</f>
        <v>9.3649085037674926E-2</v>
      </c>
      <c r="F15" s="348">
        <f>IF(ISNUMBER(
   IF(D_I="SI",(Datos!K15-Datos!U15)/Datos!U15,(Datos!K15+Datos!AE15-(Datos!U15+Datos!AM15))/(Datos!U15+Datos!AM15))
     ),IF(D_I="SI",(Datos!K15-Datos!U15)/Datos!U15,(Datos!K15+Datos!AE15-(Datos!U15+Datos!AM15))/(Datos!U15+Datos!AM15))," - ")</f>
        <v>7.7559462254395035E-3</v>
      </c>
      <c r="G15" s="349">
        <f>IF(ISNUMBER(
   IF(D_I="SI",(Datos!L15-Datos!V15)/Datos!V15,(Datos!L15+Datos!AF15-(Datos!V15+Datos!AN15))/(Datos!V15+Datos!AN15))
     ),IF(D_I="SI",(Datos!L15-Datos!V15)/Datos!V15,(Datos!L15+Datos!AF15-(Datos!V15+Datos!AN15))/(Datos!V15+Datos!AN15))," - ")</f>
        <v>0.13902681231380337</v>
      </c>
      <c r="H15" s="230">
        <f>IF(ISNUMBER((Datos!M15-Datos!W15)/Datos!W15),(Datos!M15-Datos!W15)/Datos!W15," - ")</f>
        <v>6.9306930693069313E-2</v>
      </c>
      <c r="I15" s="350">
        <f>IF(ISNUMBER((Tasas!C15-Datos!BE15)/Datos!BE15),(Tasas!C15-Datos!BE15)/Datos!BE15," - ")</f>
        <v>0.13026057209589317</v>
      </c>
      <c r="J15" s="349">
        <f>IF(ISNUMBER((Tasas!D15-Datos!BF15)/Datos!BF15),(Tasas!D15-Datos!BF15)/Datos!BF15," - ")</f>
        <v>6.1077272427088776E-2</v>
      </c>
      <c r="K15" s="351">
        <f>IF(ISNUMBER((Tasas!E15-Datos!BG15)/Datos!BG15),(Tasas!E15-Datos!BG15)/Datos!BG15," - ")</f>
        <v>5.8390065114929959E-2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-9.036144578313253E-2</v>
      </c>
      <c r="E17" s="348">
        <f>IF(ISNUMBER(
   IF(D_I="SI",(Datos!J17-Datos!T17)/Datos!T17,(Datos!J17+Datos!AD17-(Datos!T17+Datos!AL17))/(Datos!T17+Datos!AL17))
     ),IF(D_I="SI",(Datos!J17-Datos!T17)/Datos!T17,(Datos!J17+Datos!AD17-(Datos!T17+Datos!AL17))/(Datos!T17+Datos!AL17))," - ")</f>
        <v>-0.21673003802281368</v>
      </c>
      <c r="F17" s="348">
        <f>IF(ISNUMBER(
   IF(D_I="SI",(Datos!K17-Datos!U17)/Datos!U17,(Datos!K17+Datos!AE17-(Datos!U17+Datos!AM17))/(Datos!U17+Datos!AM17))
     ),IF(D_I="SI",(Datos!K17-Datos!U17)/Datos!U17,(Datos!K17+Datos!AE17-(Datos!U17+Datos!AM17))/(Datos!U17+Datos!AM17))," - ")</f>
        <v>-0.25818181818181818</v>
      </c>
      <c r="G17" s="349">
        <f>IF(ISNUMBER(
   IF(D_I="SI",(Datos!L17-Datos!V17)/Datos!V17,(Datos!L17+Datos!AF17-(Datos!V17+Datos!AN17))/(Datos!V17+Datos!AN17))
     ),IF(D_I="SI",(Datos!L17-Datos!V17)/Datos!V17,(Datos!L17+Datos!AF17-(Datos!V17+Datos!AN17))/(Datos!V17+Datos!AN17))," - ")</f>
        <v>-6.4935064935064939E-3</v>
      </c>
      <c r="H17" s="230">
        <f>IF(ISNUMBER((Datos!M17-Datos!W17)/Datos!W17),(Datos!M17-Datos!W17)/Datos!W17," - ")</f>
        <v>-0.21428571428571427</v>
      </c>
      <c r="I17" s="350">
        <f>IF(ISNUMBER((Tasas!C17-Datos!BE17)/Datos!BE17),(Tasas!C17-Datos!BE17)/Datos!BE17," - ")</f>
        <v>0.33928571428571414</v>
      </c>
      <c r="J17" s="349">
        <f>IF(ISNUMBER((Tasas!D17-Datos!BF17)/Datos!BF17),(Tasas!D17-Datos!BF17)/Datos!BF17," - ")</f>
        <v>5.9173669467787134E-2</v>
      </c>
      <c r="K17" s="351">
        <f>IF(ISNUMBER((Tasas!E17-Datos!BG17)/Datos!BG17),(Tasas!E17-Datos!BG17)/Datos!BG17," - ")</f>
        <v>0.12179487179487175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3.2560214094558428E-2</v>
      </c>
      <c r="E18" s="354">
        <f>IF(ISNUMBER(
   IF(D_I="SI",(Datos!J18-Datos!T18)/Datos!T18,(Datos!J18+Datos!AD18-(Datos!T18+Datos!AL18))/(Datos!T18+Datos!AL18))
     ),IF(D_I="SI",(Datos!J18-Datos!T18)/Datos!T18,(Datos!J18+Datos!AD18-(Datos!T18+Datos!AL18))/(Datos!T18+Datos!AL18))," - ")</f>
        <v>5.5162659123055166E-2</v>
      </c>
      <c r="F18" s="354">
        <f>IF(ISNUMBER(
   IF(D_I="SI",(Datos!K18-Datos!U18)/Datos!U18,(Datos!K18+Datos!AE18-(Datos!U18+Datos!AM18))/(Datos!U18+Datos!AM18))
     ),IF(D_I="SI",(Datos!K18-Datos!U18)/Datos!U18,(Datos!K18+Datos!AE18-(Datos!U18+Datos!AM18))/(Datos!U18+Datos!AM18))," - ")</f>
        <v>-2.5350837483023993E-2</v>
      </c>
      <c r="G18" s="355">
        <f>IF(ISNUMBER(
   IF(D_I="SI",(Datos!L18-Datos!V18)/Datos!V18,(Datos!L18+Datos!AF18-(Datos!V18+Datos!AN18))/(Datos!V18+Datos!AN18))
     ),IF(D_I="SI",(Datos!L18-Datos!V18)/Datos!V18,(Datos!L18+Datos!AF18-(Datos!V18+Datos!AN18))/(Datos!V18+Datos!AN18))," - ")</f>
        <v>0.12869003690036901</v>
      </c>
      <c r="H18" s="356">
        <f>IF(ISNUMBER((Datos!M18-Datos!W18)/Datos!W18),(Datos!M18-Datos!W18)/Datos!W18," - ")</f>
        <v>7.7519379844961239E-3</v>
      </c>
      <c r="I18" s="357">
        <f>IF(ISNUMBER((Tasas!C18-Datos!BE18)/Datos!BE18),(Tasas!C18-Datos!BE18)/Datos!BE18," - ")</f>
        <v>0.15804751115323509</v>
      </c>
      <c r="J18" s="355">
        <f>IF(ISNUMBER((Tasas!D18-Datos!BF18)/Datos!BF18),(Tasas!D18-Datos!BF18)/Datos!BF18," - ")</f>
        <v>3.3963785883767826E-2</v>
      </c>
      <c r="K18" s="358">
        <f>IF(ISNUMBER((Tasas!E18-Datos!BG18)/Datos!BG18),(Tasas!E18-Datos!BG18)/Datos!BG18," - ")</f>
        <v>7.0690929158861285E-2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0.18448204704911267</v>
      </c>
      <c r="E19" s="363">
        <f>IF(ISNUMBER(
   IF(J_V="SI",(Datos!J19-Datos!T19)/Datos!T19,(Datos!J19+Datos!Z19-(Datos!T19+Datos!AH19))/(Datos!T19+Datos!AH19))
     ),IF(J_V="SI",(Datos!J19-Datos!T19)/Datos!T19,(Datos!J19+Datos!Z19-(Datos!T19+Datos!AH19))/(Datos!T19+Datos!AH19))," - ")</f>
        <v>0.52044315484041148</v>
      </c>
      <c r="F19" s="363">
        <f>IF(ISNUMBER(
   IF(J_V="SI",(Datos!K19-Datos!U19)/Datos!U19,(Datos!K19+Datos!AA19-(Datos!U19+Datos!AI19))/(Datos!U19+Datos!AI19))
     ),IF(J_V="SI",(Datos!K19-Datos!U19)/Datos!U19,(Datos!K19+Datos!AA19-(Datos!U19+Datos!AI19))/(Datos!U19+Datos!AI19))," - ")</f>
        <v>0.13363807475127723</v>
      </c>
      <c r="G19" s="364">
        <f>IF(ISNUMBER(
   IF(J_V="SI",(Datos!L19-Datos!V19)/Datos!V19,(Datos!L19+Datos!AB19-(Datos!V19+Datos!AJ19))/(Datos!V19+Datos!AJ19))
     ),IF(J_V="SI",(Datos!L19-Datos!V19)/Datos!V19,(Datos!L19+Datos!AB19-(Datos!V19+Datos!AJ19))/(Datos!V19+Datos!AJ19))," - ")</f>
        <v>0.38795213489257546</v>
      </c>
      <c r="H19" s="365">
        <f>IF(ISNUMBER((Datos!M19-Datos!W19)/Datos!W19),(Datos!M19-Datos!W19)/Datos!W19," - ")</f>
        <v>0.30218068535825543</v>
      </c>
      <c r="I19" s="362">
        <f>IF(ISNUMBER((Tasas!C19-Datos!BE19)/Datos!BE19),(Tasas!C19-Datos!BE19)/Datos!BE19," - ")</f>
        <v>0.22433443777644399</v>
      </c>
      <c r="J19" s="363">
        <f>IF(ISNUMBER((Tasas!D19-Datos!BF19)/Datos!BF19),(Tasas!D19-Datos!BF19)/Datos!BF19," - ")</f>
        <v>-0.13036702051484009</v>
      </c>
      <c r="K19" s="364">
        <f>IF(ISNUMBER((Tasas!E19-Datos!BG19)/Datos!BG19),(Tasas!E19-Datos!BG19)/Datos!BG19," - ")</f>
        <v>0.14643144517913317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7.0058008347071835E-2</v>
      </c>
      <c r="E21" s="278">
        <f t="shared" si="1"/>
        <v>0.66860288027055947</v>
      </c>
      <c r="F21" s="278">
        <f t="shared" si="1"/>
        <v>0.14605948739045499</v>
      </c>
      <c r="G21" s="279">
        <f t="shared" si="1"/>
        <v>9.0362480276055784E-2</v>
      </c>
      <c r="H21" s="285">
        <f t="shared" si="1"/>
        <v>0.28533714241685926</v>
      </c>
      <c r="I21" s="277">
        <f t="shared" si="1"/>
        <v>0.21538370213752606</v>
      </c>
      <c r="J21" s="278">
        <f t="shared" si="1"/>
        <v>0.30835793808949064</v>
      </c>
      <c r="K21" s="279">
        <f t="shared" si="1"/>
        <v>0.20329101002075428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Bqf3CJk2lJiD57YpjnIJEPBvUt8kGDkat8T8U2XvUBE9jx/Cb65cL3yZ8uZtlwhQ7j4jxAGlG2+lgzX1lFMeQ==" saltValue="TXMxaH0mHcuQhHNsw9N5H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